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2015" tabRatio="747" firstSheet="25"/>
  </bookViews>
  <sheets>
    <sheet name="目录" sheetId="49" r:id="rId1"/>
    <sheet name="一般公共预算收入表（全市）" sheetId="1" r:id="rId2"/>
    <sheet name="一般公共预算收入表（市本级）" sheetId="43" r:id="rId3"/>
    <sheet name="一般公共预算支出表（全市）" sheetId="2" r:id="rId4"/>
    <sheet name="一般公共预算本级支出表" sheetId="44" r:id="rId5"/>
    <sheet name="一般公共预算本级基本支出表（按政府预算支出经济分类科目）" sheetId="55" r:id="rId6"/>
    <sheet name="一般公共预算税收返还和转移支付（分项目） " sheetId="63" r:id="rId7"/>
    <sheet name="一般公共预算税收返还和转移支付（分地区）" sheetId="62" r:id="rId8"/>
    <sheet name="2025年政府一般债务限额及余额情况表" sheetId="64" r:id="rId9"/>
    <sheet name="2025—2026年政府一般债券发行及还本付息情况表 " sheetId="65" r:id="rId10"/>
    <sheet name="政府性基金收入表（全市）" sheetId="12" r:id="rId11"/>
    <sheet name="政府性基金收入表（市本级）" sheetId="45" r:id="rId12"/>
    <sheet name="政府性基金支出表（全市）" sheetId="13" r:id="rId13"/>
    <sheet name="本级政府性基金支出表" sheetId="46" r:id="rId14"/>
    <sheet name="本级政府性基金支出表（按政府预算支出经济分类科目）" sheetId="57" r:id="rId15"/>
    <sheet name="政府性基金转移支付表 " sheetId="58" r:id="rId16"/>
    <sheet name="2025年政府专项债务限额及余额情况表 " sheetId="66" r:id="rId17"/>
    <sheet name="2025—2026年政府专项债券发行及还本付息情况表 " sheetId="67" r:id="rId18"/>
    <sheet name="国有资本经营预算收入表（全市）" sheetId="17" r:id="rId19"/>
    <sheet name="国有资本经营预算收入表（市本级）" sheetId="47" r:id="rId20"/>
    <sheet name="国有资本经营预算支出表（全市）" sheetId="18" r:id="rId21"/>
    <sheet name="本级国有资本经营预算支出表" sheetId="48" r:id="rId22"/>
    <sheet name="国资转移支付" sheetId="59" r:id="rId23"/>
    <sheet name="本级国有资本经营预算支出表（按政府预算支出经济分类科目）" sheetId="56" r:id="rId24"/>
    <sheet name="国有资本经营预算转移支付表 " sheetId="68" r:id="rId25"/>
    <sheet name="社会保险基金收入预算表（全市）" sheetId="60" r:id="rId26"/>
    <sheet name="社会保险基金收入预算表（市本级）" sheetId="53" r:id="rId27"/>
    <sheet name="社会保险基金支出预算表（全市）" sheetId="52" r:id="rId28"/>
    <sheet name="社会保险基金支出预算表（市本级）" sheetId="61" r:id="rId29"/>
  </sheets>
  <externalReferences>
    <externalReference r:id="rId30"/>
  </externalReferences>
  <definedNames>
    <definedName name="_xlnm._FilterDatabase" localSheetId="3" hidden="1">'一般公共预算支出表（全市）'!$6:$1194</definedName>
    <definedName name="_xlnm._FilterDatabase" localSheetId="4" hidden="1">一般公共预算本级支出表!$6:$1194</definedName>
    <definedName name="_xlnm.Print_Area" localSheetId="3">'一般公共预算支出表（全市）'!$A$1:$J$1191</definedName>
    <definedName name="_xlnm.Print_Titles" localSheetId="1">'一般公共预算收入表（全市）'!$1:$6</definedName>
    <definedName name="_xlnm.Print_Titles" localSheetId="3">'一般公共预算支出表（全市）'!$1:$6</definedName>
    <definedName name="_xlnm.Print_Area" localSheetId="1">'一般公共预算收入表（全市）'!$A$1:$J$108</definedName>
    <definedName name="_xlnm._FilterDatabase" localSheetId="1" hidden="1">'一般公共预算收入表（全市）'!$A$6:$M$108</definedName>
    <definedName name="_xlnm.Print_Area" localSheetId="10">'政府性基金收入表（全市）'!$A$1:$J$49</definedName>
    <definedName name="_xlnm.Print_Titles" localSheetId="10">'政府性基金收入表（全市）'!$1:$6</definedName>
    <definedName name="_xlnm._FilterDatabase" localSheetId="12" hidden="1">'政府性基金支出表（全市）'!$A$6:$K$281</definedName>
    <definedName name="_xlnm.Print_Area" localSheetId="12">'政府性基金支出表（全市）'!$A$1:$J$279</definedName>
    <definedName name="_xlnm.Print_Titles" localSheetId="12">'政府性基金支出表（全市）'!$1:$6</definedName>
    <definedName name="_xlnm.Print_Area" localSheetId="18">'国有资本经营预算收入表（全市）'!$A$1:$K$59</definedName>
    <definedName name="_xlnm.Print_Titles" localSheetId="18">'国有资本经营预算收入表（全市）'!$2:$6</definedName>
    <definedName name="_xlnm.Print_Area" localSheetId="20">'国有资本经营预算支出表（全市）'!$A$1:$J$39</definedName>
    <definedName name="_xlnm.Print_Titles" localSheetId="2">'一般公共预算收入表（市本级）'!$1:$6</definedName>
    <definedName name="_xlnm.Print_Area" localSheetId="2">'一般公共预算收入表（市本级）'!$A$1:$J$108</definedName>
    <definedName name="_xlnm._FilterDatabase" localSheetId="2" hidden="1">'一般公共预算收入表（市本级）'!$A$6:$M$108</definedName>
    <definedName name="_xlnm.Print_Area" localSheetId="4">一般公共预算本级支出表!$A$1:$J$1191</definedName>
    <definedName name="_xlnm.Print_Titles" localSheetId="4">一般公共预算本级支出表!$1:$6</definedName>
    <definedName name="_xlnm.Print_Area" localSheetId="11">'政府性基金收入表（市本级）'!$A$1:$J$49</definedName>
    <definedName name="_xlnm.Print_Titles" localSheetId="11">'政府性基金收入表（市本级）'!$1:$6</definedName>
    <definedName name="_xlnm._FilterDatabase" localSheetId="13" hidden="1">本级政府性基金支出表!$A$6:$L$279</definedName>
    <definedName name="_xlnm.Print_Area" localSheetId="13">本级政府性基金支出表!$A$1:$J$279</definedName>
    <definedName name="_xlnm.Print_Titles" localSheetId="13">本级政府性基金支出表!$1:$6</definedName>
    <definedName name="_xlnm.Print_Area" localSheetId="19">'国有资本经营预算收入表（市本级）'!$A$1:$K$59</definedName>
    <definedName name="_xlnm.Print_Titles" localSheetId="19">'国有资本经营预算收入表（市本级）'!$2:$6</definedName>
    <definedName name="_xlnm.Print_Area" localSheetId="21">本级国有资本经营预算支出表!$A$1:$J$39</definedName>
    <definedName name="_xlnm._FilterDatabase" localSheetId="20" hidden="1">'国有资本经营预算支出表（全市）'!$A$6:$L$39</definedName>
    <definedName name="_xlnm._FilterDatabase" localSheetId="19" hidden="1">'国有资本经营预算收入表（市本级）'!$A$6:$WVI$59</definedName>
    <definedName name="_xlnm.Print_Titles" localSheetId="0">目录!#REF!</definedName>
    <definedName name="_xlnm.Print_Area" localSheetId="27">'社会保险基金支出预算表（全市）'!$A$1:$J$24</definedName>
    <definedName name="_xlnm.Print_Titles" localSheetId="27">'社会保险基金支出预算表（全市）'!$1:$6</definedName>
    <definedName name="_xlnm.Print_Area" localSheetId="26">'社会保险基金收入预算表（市本级）'!$A$1:$J$35</definedName>
    <definedName name="_xlnm.Print_Titles" localSheetId="26">'社会保险基金收入预算表（市本级）'!$1:$6</definedName>
    <definedName name="_xlnm.Print_Area" localSheetId="15">'政府性基金转移支付表 '!$A$1:$C$5</definedName>
    <definedName name="_xlnm.Print_Area" localSheetId="25">'社会保险基金收入预算表（全市）'!$A$1:$J$13</definedName>
    <definedName name="_xlnm.Print_Titles" localSheetId="25">'社会保险基金收入预算表（全市）'!$1:$6</definedName>
    <definedName name="_xlnm.Print_Area" localSheetId="28">'社会保险基金支出预算表（市本级）'!$A$1:$J$42</definedName>
    <definedName name="_xlnm.Print_Titles" localSheetId="28">'社会保险基金支出预算表（市本级）'!$1:$6</definedName>
    <definedName name="_xlnm.Print_Area" localSheetId="16">'2025年政府专项债务限额及余额情况表 '!$A$1:$C$13</definedName>
    <definedName name="_xlnm.Print_Area" localSheetId="17">'2025—2026年政府专项债券发行及还本付息情况表 '!#REF!</definedName>
  </definedNames>
  <calcPr calcId="144525"/>
</workbook>
</file>

<file path=xl/comments1.xml><?xml version="1.0" encoding="utf-8"?>
<comments xmlns="http://schemas.openxmlformats.org/spreadsheetml/2006/main">
  <authors>
    <author>gxxc</author>
  </authors>
  <commentList>
    <comment ref="H1170" authorId="0">
      <text>
        <r>
          <rPr>
            <b/>
            <sz val="9"/>
            <rFont val="宋体"/>
            <charset val="134"/>
          </rPr>
          <t>gxxc:</t>
        </r>
        <r>
          <rPr>
            <sz val="9"/>
            <rFont val="宋体"/>
            <charset val="134"/>
          </rPr>
          <t xml:space="preserve">
一般公共预算的1%
</t>
        </r>
      </text>
    </comment>
  </commentList>
</comments>
</file>

<file path=xl/sharedStrings.xml><?xml version="1.0" encoding="utf-8"?>
<sst xmlns="http://schemas.openxmlformats.org/spreadsheetml/2006/main" count="4095" uniqueCount="1665">
  <si>
    <t>目录</t>
  </si>
  <si>
    <t>一、一般公共预算报表</t>
  </si>
  <si>
    <t>（一）一般公共预算收入表（全市）</t>
  </si>
  <si>
    <t>（二）一般公共预算收入表（市本级）</t>
  </si>
  <si>
    <t>（三）一般公共预算支出表（全市）</t>
  </si>
  <si>
    <t>（四）一般公共预算本级支出表</t>
  </si>
  <si>
    <t>（五）一般公共预算本级基本支出表（按政府预算支出经济分类科目）</t>
  </si>
  <si>
    <t>（六）一般公共预算税收返还和转移支付表（分项目）</t>
  </si>
  <si>
    <t>（七）一般公共预算税收返还转移支付表（分地区）</t>
  </si>
  <si>
    <t>（八）2025年政府一般债务限额及余额情况表</t>
  </si>
  <si>
    <t xml:space="preserve">（九）2025—2026年政府一般债券发行及还本付息情况表 </t>
  </si>
  <si>
    <t>二、政府性基金预算报表</t>
  </si>
  <si>
    <t>（一）政府性基金收入表（全市）</t>
  </si>
  <si>
    <t xml:space="preserve">（二）政府性基金收入表（市本级） </t>
  </si>
  <si>
    <t>（三）政府性基金支出表（全市）</t>
  </si>
  <si>
    <t>（四）本级政府性基金支出表</t>
  </si>
  <si>
    <t>（五）本级政府性基金支出表（按政府预算支出经济分类科目）</t>
  </si>
  <si>
    <t xml:space="preserve">（六）政府性基金转移支付表 </t>
  </si>
  <si>
    <t xml:space="preserve">（七）2025年政府专项债务限额及余额情况表 </t>
  </si>
  <si>
    <t xml:space="preserve">（八）2025—2026年政府专项债券发行及还本付息情况表 </t>
  </si>
  <si>
    <t>三、国有资本经营预算报表</t>
  </si>
  <si>
    <t>（一）国有资本经营预算收入表（全市）</t>
  </si>
  <si>
    <t>（二）国有资本经营预算收入表（市本级）</t>
  </si>
  <si>
    <t>（三）国有资本经营预算支出表（全市）</t>
  </si>
  <si>
    <t>（四）本级国有资本经营预算支出表</t>
  </si>
  <si>
    <t>（五）本级国有资本经营预算支出表（按政府预算支出经济分类科目）</t>
  </si>
  <si>
    <t xml:space="preserve">（六）国有资本经营预算转移支付表 </t>
  </si>
  <si>
    <t>四、社会保险基金预算报表</t>
  </si>
  <si>
    <t>（一）社会保险基金收入预算表（全市）</t>
  </si>
  <si>
    <t>（二）社会保险基金收入预算表（市本级）</t>
  </si>
  <si>
    <t>（三）社会保险基金支出预算表（全市）</t>
  </si>
  <si>
    <t>（四）社会保险基金支出预算表（市本级）</t>
  </si>
  <si>
    <t>玉林市一般公共预算2026年收入预算(草案)</t>
  </si>
  <si>
    <t>单位:万元</t>
  </si>
  <si>
    <t>项          目</t>
  </si>
  <si>
    <t>2025年完成情况</t>
  </si>
  <si>
    <t>2026年预算</t>
  </si>
  <si>
    <t>年初预算</t>
  </si>
  <si>
    <t>执行数</t>
  </si>
  <si>
    <t>完成年初预算%</t>
  </si>
  <si>
    <t>2024年完成数</t>
  </si>
  <si>
    <t>比上年增减</t>
  </si>
  <si>
    <t>建议数</t>
  </si>
  <si>
    <t>比2025年执行数增减</t>
  </si>
  <si>
    <t>金额</t>
  </si>
  <si>
    <t>%</t>
  </si>
  <si>
    <t>一、税收收入</t>
  </si>
  <si>
    <t xml:space="preserve">       增值税</t>
  </si>
  <si>
    <t xml:space="preserve">       企业所得税</t>
  </si>
  <si>
    <t xml:space="preserve">       个人所得税</t>
  </si>
  <si>
    <t xml:space="preserve">       资源税</t>
  </si>
  <si>
    <t xml:space="preserve">       城市维护建设税</t>
  </si>
  <si>
    <t xml:space="preserve">       房产税</t>
  </si>
  <si>
    <t xml:space="preserve">       印花税</t>
  </si>
  <si>
    <t xml:space="preserve">       城镇土地使用税</t>
  </si>
  <si>
    <t xml:space="preserve">       土地增值税</t>
  </si>
  <si>
    <t xml:space="preserve">       车船税</t>
  </si>
  <si>
    <t xml:space="preserve">       耕地占用税</t>
  </si>
  <si>
    <t xml:space="preserve">       契税</t>
  </si>
  <si>
    <t xml:space="preserve">       环境保护税</t>
  </si>
  <si>
    <t xml:space="preserve">       其他税收收入</t>
  </si>
  <si>
    <t>二、非税收入</t>
  </si>
  <si>
    <t xml:space="preserve">       专项收入</t>
  </si>
  <si>
    <t xml:space="preserve">       行政事业性收费收入</t>
  </si>
  <si>
    <t xml:space="preserve">       罚没收入</t>
  </si>
  <si>
    <t xml:space="preserve">       国有资本经营收入</t>
  </si>
  <si>
    <t xml:space="preserve">       国有资源（资产）有偿使用收入</t>
  </si>
  <si>
    <t xml:space="preserve">       捐赠收入</t>
  </si>
  <si>
    <t xml:space="preserve">       政府住房基金收入</t>
  </si>
  <si>
    <t xml:space="preserve">       其他收入</t>
  </si>
  <si>
    <t>一般公共预算收入合计</t>
  </si>
  <si>
    <t>转移性收入合计</t>
  </si>
  <si>
    <t xml:space="preserve">  上级补助收入</t>
  </si>
  <si>
    <t xml:space="preserve">    返还性收入</t>
  </si>
  <si>
    <t xml:space="preserve">       所得税基数返还收入</t>
  </si>
  <si>
    <t xml:space="preserve">       成品油税费改革税收返还收入</t>
  </si>
  <si>
    <t xml:space="preserve">       增值税税收返还收入</t>
  </si>
  <si>
    <t xml:space="preserve">       消费税税收返还收入</t>
  </si>
  <si>
    <t xml:space="preserve">       增值税“五五分享”税收返还收入</t>
  </si>
  <si>
    <t xml:space="preserve">       其他返还性收入</t>
  </si>
  <si>
    <t xml:space="preserve">    一般性转移支付收入</t>
  </si>
  <si>
    <t xml:space="preserve">       体制补助收入</t>
  </si>
  <si>
    <t xml:space="preserve">       均衡性转移支付收入</t>
  </si>
  <si>
    <t xml:space="preserve">       县级基本财力保障机制奖补资金收入</t>
  </si>
  <si>
    <t xml:space="preserve">       结算补助收入</t>
  </si>
  <si>
    <t xml:space="preserve">       资源枯竭型城市转移支付补助收入</t>
  </si>
  <si>
    <t xml:space="preserve">       企业事业单位划转补助收入</t>
  </si>
  <si>
    <t xml:space="preserve">       产粮（油）大县奖励资金收入</t>
  </si>
  <si>
    <t xml:space="preserve">       重点生态功能区转移支付收入</t>
  </si>
  <si>
    <t xml:space="preserve">       固定数额补助收入</t>
  </si>
  <si>
    <t xml:space="preserve">       革命老区转移支付收入</t>
  </si>
  <si>
    <t xml:space="preserve">       民族地区转移支付收入</t>
  </si>
  <si>
    <t xml:space="preserve">       边境地区转移支付收入</t>
  </si>
  <si>
    <t xml:space="preserve">       巩固脱贫攻坚成果衔接乡村振兴转移支付收入</t>
  </si>
  <si>
    <t xml:space="preserve">       一般公共服务共同财政事权转移支付收入</t>
  </si>
  <si>
    <t xml:space="preserve">       外交共同财政事权转移支付收入</t>
  </si>
  <si>
    <t xml:space="preserve">       国防共同财政事权转移支付收入</t>
  </si>
  <si>
    <t xml:space="preserve">       公共安全共同财政事权转移支付收入</t>
  </si>
  <si>
    <t xml:space="preserve">       教育共同财政事权转移支付收入</t>
  </si>
  <si>
    <t xml:space="preserve">       科学技术共同财政事权转移支付收入</t>
  </si>
  <si>
    <t xml:space="preserve">       文化旅游体育与传媒共同财政事权转移支付收入</t>
  </si>
  <si>
    <t xml:space="preserve">       社会保障和就业共同财政事权转移支付收入</t>
  </si>
  <si>
    <t xml:space="preserve">       医疗卫生共同财政事权转移支付收入</t>
  </si>
  <si>
    <t xml:space="preserve">       节能环保共同财政事权转移支付收入</t>
  </si>
  <si>
    <t xml:space="preserve">       城乡社区共同财政事权转移支付收入</t>
  </si>
  <si>
    <t xml:space="preserve">       农林水共同财政事权转移支付收入</t>
  </si>
  <si>
    <t xml:space="preserve">       交通运输共同财政事权转移支付收入</t>
  </si>
  <si>
    <t xml:space="preserve">       资源勘探工业信息等共同财政事权转移支付收入</t>
  </si>
  <si>
    <t xml:space="preserve">       商业服务业等共同财政事权转移支付收入</t>
  </si>
  <si>
    <t xml:space="preserve">       金融共同财政事权转移支付收入</t>
  </si>
  <si>
    <t xml:space="preserve">       自然资源海洋气象等共同财政事权转移支付收入</t>
  </si>
  <si>
    <t xml:space="preserve">       住房保障共同财政事权转移支付收入</t>
  </si>
  <si>
    <t xml:space="preserve">       粮油物资储备共同财政事权转移支付收入</t>
  </si>
  <si>
    <t xml:space="preserve">       灾害防治及应急管理共同财政事权转移支付收入</t>
  </si>
  <si>
    <t xml:space="preserve">       其他共同财政事权转移支付收入</t>
  </si>
  <si>
    <t xml:space="preserve">       其他一般性转移支付收入</t>
  </si>
  <si>
    <t xml:space="preserve">    专项转移支付收入</t>
  </si>
  <si>
    <t xml:space="preserve">       一般公共服务</t>
  </si>
  <si>
    <t xml:space="preserve">       外交</t>
  </si>
  <si>
    <t xml:space="preserve">       国防</t>
  </si>
  <si>
    <t xml:space="preserve">       公共安全</t>
  </si>
  <si>
    <t xml:space="preserve">       教育</t>
  </si>
  <si>
    <t xml:space="preserve">       科学技术</t>
  </si>
  <si>
    <t xml:space="preserve">       文化旅游体育与传媒</t>
  </si>
  <si>
    <t xml:space="preserve">       社会保障和就业</t>
  </si>
  <si>
    <t xml:space="preserve">       卫生健康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</si>
  <si>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</si>
  <si>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</si>
  <si>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</si>
  <si>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</si>
  <si>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资源勘探工业信息等</t>
  </si>
  <si>
    <t xml:space="preserve">       商业服务业等</t>
  </si>
  <si>
    <t xml:space="preserve">       金融</t>
  </si>
  <si>
    <t xml:space="preserve">       自然资源海洋气象等</t>
  </si>
  <si>
    <t xml:space="preserve">       住房保障</t>
  </si>
  <si>
    <t xml:space="preserve">       粮油物资储备</t>
  </si>
  <si>
    <t xml:space="preserve">       灾害防治及应急管理</t>
  </si>
  <si>
    <t xml:space="preserve">  上解收入</t>
  </si>
  <si>
    <t xml:space="preserve">  上年结余收入</t>
  </si>
  <si>
    <t xml:space="preserve">  动用预算稳定调节基金</t>
  </si>
  <si>
    <t xml:space="preserve">  调入资金</t>
  </si>
  <si>
    <t xml:space="preserve">     从政府性基金预算调入一般公共预算</t>
  </si>
  <si>
    <t xml:space="preserve">     从国有资本经营预算调入一般公共预算</t>
  </si>
  <si>
    <t xml:space="preserve">     从其他资金调入一般公共预算</t>
  </si>
  <si>
    <t xml:space="preserve">  债务转贷收入</t>
  </si>
  <si>
    <t xml:space="preserve">  区域间转移性收入</t>
  </si>
  <si>
    <t>总计</t>
  </si>
  <si>
    <t>附件1-3</t>
  </si>
  <si>
    <t>玉林市市级一般公共预算2026年收入预算(草案)</t>
  </si>
  <si>
    <t>附件1-2</t>
  </si>
  <si>
    <t>玉林市一般公共预算2026年支出预算(草案)</t>
  </si>
  <si>
    <t>2024年完成数（填到款级）</t>
  </si>
  <si>
    <t>比2025年年初预算增减</t>
  </si>
  <si>
    <t>1、一般公共服务支出</t>
  </si>
  <si>
    <t xml:space="preserve">    人大事务</t>
  </si>
  <si>
    <t xml:space="preserve">        行政运行</t>
  </si>
  <si>
    <t xml:space="preserve">        一般行政管理事务</t>
  </si>
  <si>
    <t xml:space="preserve">        机关服务</t>
  </si>
  <si>
    <t xml:space="preserve">        人大会议</t>
  </si>
  <si>
    <t xml:space="preserve">        人大立法</t>
  </si>
  <si>
    <t xml:space="preserve">        人大监督</t>
  </si>
  <si>
    <t xml:space="preserve">        人大代表履职能力提升</t>
  </si>
  <si>
    <t xml:space="preserve">        代表工作</t>
  </si>
  <si>
    <t xml:space="preserve">        人大信访工作</t>
  </si>
  <si>
    <t xml:space="preserve">        事业运行</t>
  </si>
  <si>
    <t xml:space="preserve">        其他人大事务支出</t>
  </si>
  <si>
    <t xml:space="preserve">    政协事务</t>
  </si>
  <si>
    <t xml:space="preserve">        政协会议</t>
  </si>
  <si>
    <t xml:space="preserve">        委员视察</t>
  </si>
  <si>
    <t xml:space="preserve">        参政议政</t>
  </si>
  <si>
    <t xml:space="preserve">        其他政协事务支出</t>
  </si>
  <si>
    <t xml:space="preserve">    政府办公厅（室）及相关机构事务</t>
  </si>
  <si>
    <t xml:space="preserve">        专项服务</t>
  </si>
  <si>
    <t xml:space="preserve">        专项业务及机关事务管理</t>
  </si>
  <si>
    <t xml:space="preserve">        政务公开审批</t>
  </si>
  <si>
    <t xml:space="preserve">        参事事务</t>
  </si>
  <si>
    <t xml:space="preserve">        其他政府办公厅（室）及相关机构事务支出</t>
  </si>
  <si>
    <t xml:space="preserve">    发展与改革事务</t>
  </si>
  <si>
    <t xml:space="preserve">        战略规划与实施</t>
  </si>
  <si>
    <t xml:space="preserve">        日常经济运行调节</t>
  </si>
  <si>
    <t xml:space="preserve">        社会事业发展规划</t>
  </si>
  <si>
    <t xml:space="preserve">        经济体制改革研究</t>
  </si>
  <si>
    <t xml:space="preserve">        物价管理</t>
  </si>
  <si>
    <t xml:space="preserve">        其他发展与改革事务支出</t>
  </si>
  <si>
    <t xml:space="preserve">    统计信息事务</t>
  </si>
  <si>
    <t xml:space="preserve">        信息事务</t>
  </si>
  <si>
    <t xml:space="preserve">        专项统计业务</t>
  </si>
  <si>
    <t xml:space="preserve">        统计管理</t>
  </si>
  <si>
    <t xml:space="preserve">        专项普查活动</t>
  </si>
  <si>
    <t xml:space="preserve">        统计抽样调查</t>
  </si>
  <si>
    <t xml:space="preserve">        其他统计信息事务支出</t>
  </si>
  <si>
    <t xml:space="preserve">    财政事务</t>
  </si>
  <si>
    <t xml:space="preserve">        预算改革业务</t>
  </si>
  <si>
    <t xml:space="preserve">        财政国库业务</t>
  </si>
  <si>
    <t xml:space="preserve">        财政监察</t>
  </si>
  <si>
    <t xml:space="preserve">        信息化建设</t>
  </si>
  <si>
    <t xml:space="preserve">        财政委托业务支出</t>
  </si>
  <si>
    <t xml:space="preserve">        其他财政事务支出</t>
  </si>
  <si>
    <t xml:space="preserve">    税收事务</t>
  </si>
  <si>
    <t xml:space="preserve">        税收业务</t>
  </si>
  <si>
    <t xml:space="preserve">        其他税收事务支出</t>
  </si>
  <si>
    <t xml:space="preserve">    审计事务</t>
  </si>
  <si>
    <t xml:space="preserve">        审计业务</t>
  </si>
  <si>
    <t xml:space="preserve">        审计管理</t>
  </si>
  <si>
    <t xml:space="preserve">        其他审计事务支出</t>
  </si>
  <si>
    <t xml:space="preserve">    海关事务</t>
  </si>
  <si>
    <t xml:space="preserve">    纪检监察事务</t>
  </si>
  <si>
    <t xml:space="preserve">        大案要案查处</t>
  </si>
  <si>
    <t xml:space="preserve">        派驻派出机构</t>
  </si>
  <si>
    <t xml:space="preserve">        巡视工作</t>
  </si>
  <si>
    <t xml:space="preserve">        其他纪检监察事务支出</t>
  </si>
  <si>
    <t xml:space="preserve">    商贸事务</t>
  </si>
  <si>
    <t xml:space="preserve">        对外贸易管理</t>
  </si>
  <si>
    <t xml:space="preserve">        国际经济合作</t>
  </si>
  <si>
    <t xml:space="preserve">        外资管理</t>
  </si>
  <si>
    <t xml:space="preserve">        国内贸易管理</t>
  </si>
  <si>
    <t xml:space="preserve">        招商引资</t>
  </si>
  <si>
    <t xml:space="preserve">        其他商贸事务支出</t>
  </si>
  <si>
    <t xml:space="preserve">    知识产权事务</t>
  </si>
  <si>
    <t xml:space="preserve">    民族事务</t>
  </si>
  <si>
    <t xml:space="preserve">        民族工作专项</t>
  </si>
  <si>
    <t xml:space="preserve">        其他民族事务支出</t>
  </si>
  <si>
    <t xml:space="preserve">    港澳台事务</t>
  </si>
  <si>
    <t xml:space="preserve">    档案事务</t>
  </si>
  <si>
    <t xml:space="preserve">        档案馆</t>
  </si>
  <si>
    <t xml:space="preserve">        其他档案事务支出</t>
  </si>
  <si>
    <t xml:space="preserve">    民主党派及工商联事务</t>
  </si>
  <si>
    <t xml:space="preserve">        其他民主党派及工商联事务支出</t>
  </si>
  <si>
    <t xml:space="preserve">    群众团体事务</t>
  </si>
  <si>
    <t xml:space="preserve">        工会事务</t>
  </si>
  <si>
    <t xml:space="preserve">        其他群众团体事务支出</t>
  </si>
  <si>
    <t xml:space="preserve">    党委办公厅（室）及相关机构事务</t>
  </si>
  <si>
    <t xml:space="preserve">        专项业务</t>
  </si>
  <si>
    <t xml:space="preserve">        其他党委办公厅（室）及相关机构事务支出</t>
  </si>
  <si>
    <t xml:space="preserve">    组织事务</t>
  </si>
  <si>
    <t xml:space="preserve">        公务员事务</t>
  </si>
  <si>
    <t xml:space="preserve">        其他组织事务支出</t>
  </si>
  <si>
    <t xml:space="preserve">    宣传事务</t>
  </si>
  <si>
    <t xml:space="preserve">        宣传管理</t>
  </si>
  <si>
    <t xml:space="preserve">        其他宣传事务支出</t>
  </si>
  <si>
    <t xml:space="preserve">    统战事务</t>
  </si>
  <si>
    <t xml:space="preserve">        宗教事务</t>
  </si>
  <si>
    <t xml:space="preserve">        华侨事务</t>
  </si>
  <si>
    <t xml:space="preserve">        其他统战事务支出</t>
  </si>
  <si>
    <t xml:space="preserve">    对外联络事务</t>
  </si>
  <si>
    <t xml:space="preserve">        其他对外联络事务支出</t>
  </si>
  <si>
    <t xml:space="preserve">    其他共产党事务支出</t>
  </si>
  <si>
    <t xml:space="preserve">        其他共产党事务支出</t>
  </si>
  <si>
    <t xml:space="preserve">    网信事务</t>
  </si>
  <si>
    <t xml:space="preserve">        信息安全事务</t>
  </si>
  <si>
    <t xml:space="preserve">        其他网信事务支出</t>
  </si>
  <si>
    <t xml:space="preserve">    市场监督管理事务</t>
  </si>
  <si>
    <t xml:space="preserve">        经营主体管理   </t>
  </si>
  <si>
    <t xml:space="preserve">        市场秩序执法</t>
  </si>
  <si>
    <t xml:space="preserve">        质量基础</t>
  </si>
  <si>
    <t xml:space="preserve">        药品事务</t>
  </si>
  <si>
    <t xml:space="preserve">        医疗器械事务</t>
  </si>
  <si>
    <t xml:space="preserve">        化妆品事务</t>
  </si>
  <si>
    <t xml:space="preserve">        质量安全监管  </t>
  </si>
  <si>
    <t xml:space="preserve">        食品安全监管</t>
  </si>
  <si>
    <t xml:space="preserve">        其他市场监督管理事务</t>
  </si>
  <si>
    <t xml:space="preserve">    社会工作事务</t>
  </si>
  <si>
    <t xml:space="preserve">        其他社会工作事务支出</t>
  </si>
  <si>
    <t xml:space="preserve">    信访事务 </t>
  </si>
  <si>
    <t xml:space="preserve">        信访业务</t>
  </si>
  <si>
    <t xml:space="preserve">        其他信访事务支出</t>
  </si>
  <si>
    <t xml:space="preserve">    数据事务 </t>
  </si>
  <si>
    <t xml:space="preserve">        其他数据事务支出</t>
  </si>
  <si>
    <t xml:space="preserve">    其他一般公共服务支出</t>
  </si>
  <si>
    <t xml:space="preserve">        其他一般公共服务支出</t>
  </si>
  <si>
    <t>2、国防支出</t>
  </si>
  <si>
    <t xml:space="preserve">    军费</t>
  </si>
  <si>
    <t xml:space="preserve">        现役部队</t>
  </si>
  <si>
    <t xml:space="preserve">        预备役部队</t>
  </si>
  <si>
    <t xml:space="preserve">        其他军费支出</t>
  </si>
  <si>
    <t xml:space="preserve">    国防科研事业</t>
  </si>
  <si>
    <t xml:space="preserve">    专项工程</t>
  </si>
  <si>
    <t xml:space="preserve">    国防动员</t>
  </si>
  <si>
    <t xml:space="preserve">        兵役征集</t>
  </si>
  <si>
    <t xml:space="preserve">        经济动员</t>
  </si>
  <si>
    <t xml:space="preserve">        人民防空</t>
  </si>
  <si>
    <t xml:space="preserve">        交通战备</t>
  </si>
  <si>
    <t xml:space="preserve">        民兵</t>
  </si>
  <si>
    <t xml:space="preserve">        边海防</t>
  </si>
  <si>
    <t xml:space="preserve">        其他国防动员支出</t>
  </si>
  <si>
    <t xml:space="preserve">    其他国防支出</t>
  </si>
  <si>
    <t>3、公共安全支出</t>
  </si>
  <si>
    <t xml:space="preserve">    武装警察部队</t>
  </si>
  <si>
    <t xml:space="preserve">        武装警察部队</t>
  </si>
  <si>
    <t xml:space="preserve">        其他武装警察部队支出</t>
  </si>
  <si>
    <t xml:space="preserve">    公安</t>
  </si>
  <si>
    <t xml:space="preserve">        执法办案</t>
  </si>
  <si>
    <t xml:space="preserve">        特别业务</t>
  </si>
  <si>
    <t xml:space="preserve">        特勤业务</t>
  </si>
  <si>
    <t xml:space="preserve">        移民事务</t>
  </si>
  <si>
    <t xml:space="preserve">        其他公安支出</t>
  </si>
  <si>
    <t xml:space="preserve">    国家安全</t>
  </si>
  <si>
    <t xml:space="preserve">        安全业务</t>
  </si>
  <si>
    <t xml:space="preserve">        其他国家安全支出</t>
  </si>
  <si>
    <t xml:space="preserve">    检察</t>
  </si>
  <si>
    <t xml:space="preserve">        “两房”建设</t>
  </si>
  <si>
    <t xml:space="preserve">        检察监督 </t>
  </si>
  <si>
    <t xml:space="preserve">        其他检察支出</t>
  </si>
  <si>
    <t xml:space="preserve">    法院</t>
  </si>
  <si>
    <t xml:space="preserve">        案件审判</t>
  </si>
  <si>
    <t xml:space="preserve">        案件执行</t>
  </si>
  <si>
    <t xml:space="preserve">        “两庭”建设</t>
  </si>
  <si>
    <t xml:space="preserve">        其他法院支出</t>
  </si>
  <si>
    <t xml:space="preserve">    司法</t>
  </si>
  <si>
    <t xml:space="preserve">        基层司法业务</t>
  </si>
  <si>
    <t xml:space="preserve">        普法宣传</t>
  </si>
  <si>
    <t xml:space="preserve">        律师管理</t>
  </si>
  <si>
    <t xml:space="preserve">        公共法律服务</t>
  </si>
  <si>
    <t xml:space="preserve">        国家统一法律职业资格考试</t>
  </si>
  <si>
    <t xml:space="preserve">        社区矫正</t>
  </si>
  <si>
    <t xml:space="preserve">        法治建设</t>
  </si>
  <si>
    <t xml:space="preserve">        其他司法支出</t>
  </si>
  <si>
    <t xml:space="preserve">    监狱</t>
  </si>
  <si>
    <t xml:space="preserve">        罪犯生活及医疗卫生</t>
  </si>
  <si>
    <t xml:space="preserve">        监狱业务及罪犯改造</t>
  </si>
  <si>
    <t xml:space="preserve">        狱政设施建设</t>
  </si>
  <si>
    <t xml:space="preserve">        其他监狱支出</t>
  </si>
  <si>
    <t xml:space="preserve">    强制隔离戒毒</t>
  </si>
  <si>
    <t xml:space="preserve">        强制隔离戒毒人员生活</t>
  </si>
  <si>
    <t xml:space="preserve">        强制隔离戒毒人员教育</t>
  </si>
  <si>
    <t xml:space="preserve">        所政设施建设</t>
  </si>
  <si>
    <t xml:space="preserve">        其他强制隔离戒毒支出</t>
  </si>
  <si>
    <t xml:space="preserve">    国家保密</t>
  </si>
  <si>
    <t xml:space="preserve">        保密技术</t>
  </si>
  <si>
    <t xml:space="preserve">        保密管理</t>
  </si>
  <si>
    <t xml:space="preserve">        其他国家保密支出</t>
  </si>
  <si>
    <t xml:space="preserve">    缉私警察</t>
  </si>
  <si>
    <t xml:space="preserve">        缉私业务</t>
  </si>
  <si>
    <t xml:space="preserve">        其他缉私警察支出</t>
  </si>
  <si>
    <t xml:space="preserve">    其他公共安全支出</t>
  </si>
  <si>
    <t>4、教育支出</t>
  </si>
  <si>
    <t xml:space="preserve">    教育管理事务</t>
  </si>
  <si>
    <t xml:space="preserve">        其他教育管理事务支出</t>
  </si>
  <si>
    <t xml:space="preserve">    普通教育</t>
  </si>
  <si>
    <t xml:space="preserve">        学前教育</t>
  </si>
  <si>
    <t xml:space="preserve">        小学教育</t>
  </si>
  <si>
    <t xml:space="preserve">        初中教育</t>
  </si>
  <si>
    <t xml:space="preserve">        高中教育</t>
  </si>
  <si>
    <t xml:space="preserve">        高等教育</t>
  </si>
  <si>
    <t xml:space="preserve">        其他普通教育支出</t>
  </si>
  <si>
    <t xml:space="preserve">    职业教育</t>
  </si>
  <si>
    <t xml:space="preserve">        初等职业教育</t>
  </si>
  <si>
    <t xml:space="preserve">        中等职业教育</t>
  </si>
  <si>
    <t xml:space="preserve">        技校教育</t>
  </si>
  <si>
    <t xml:space="preserve">        高等职业教育</t>
  </si>
  <si>
    <t xml:space="preserve">        其他职业教育支出</t>
  </si>
  <si>
    <t xml:space="preserve">    成人教育</t>
  </si>
  <si>
    <t xml:space="preserve">        成人初等教育</t>
  </si>
  <si>
    <t xml:space="preserve">        成人中等教育</t>
  </si>
  <si>
    <t xml:space="preserve">        成人高等教育</t>
  </si>
  <si>
    <t xml:space="preserve">        成人广播电视教育</t>
  </si>
  <si>
    <t xml:space="preserve">        其他成人教育支出</t>
  </si>
  <si>
    <t xml:space="preserve">    广播电视教育</t>
  </si>
  <si>
    <t xml:space="preserve">        广播电视学校</t>
  </si>
  <si>
    <t xml:space="preserve">        教育电视台</t>
  </si>
  <si>
    <t xml:space="preserve">        其他广播电视教育支出</t>
  </si>
  <si>
    <t xml:space="preserve">    留学教育</t>
  </si>
  <si>
    <t xml:space="preserve">    特殊教育</t>
  </si>
  <si>
    <t xml:space="preserve">        特殊学校教育</t>
  </si>
  <si>
    <t xml:space="preserve">        专门学校教育</t>
  </si>
  <si>
    <t xml:space="preserve">        其他特殊学校教育</t>
  </si>
  <si>
    <t xml:space="preserve">    进修及培训</t>
  </si>
  <si>
    <t xml:space="preserve">        教师进修</t>
  </si>
  <si>
    <t xml:space="preserve">        干部教育</t>
  </si>
  <si>
    <t xml:space="preserve">        培训支出</t>
  </si>
  <si>
    <t xml:space="preserve">        退役士兵能力提升</t>
  </si>
  <si>
    <t xml:space="preserve">        其他进修及培训</t>
  </si>
  <si>
    <t xml:space="preserve">    教育费附加安排的支出</t>
  </si>
  <si>
    <t xml:space="preserve">        农村中小学校舍建设</t>
  </si>
  <si>
    <t xml:space="preserve">        农村中小学教学设施</t>
  </si>
  <si>
    <t xml:space="preserve">        城市中小学校舍建设</t>
  </si>
  <si>
    <t xml:space="preserve">        城市中小学教学设施</t>
  </si>
  <si>
    <t xml:space="preserve">        中等职业学校教学设施</t>
  </si>
  <si>
    <t xml:space="preserve">        其他教育费附加安排的支出</t>
  </si>
  <si>
    <t xml:space="preserve">    其他教育支出</t>
  </si>
  <si>
    <t>5、科学技术支出</t>
  </si>
  <si>
    <t xml:space="preserve">    科学技术管理事务</t>
  </si>
  <si>
    <t xml:space="preserve">        其他科学技术管理事务支出</t>
  </si>
  <si>
    <t xml:space="preserve">    基础研究</t>
  </si>
  <si>
    <t xml:space="preserve">        机构运行</t>
  </si>
  <si>
    <t xml:space="preserve">        自然科学基金</t>
  </si>
  <si>
    <t xml:space="preserve">        实验室及相关设施</t>
  </si>
  <si>
    <t xml:space="preserve">        重大科学工程</t>
  </si>
  <si>
    <t xml:space="preserve">        专项基础科研</t>
  </si>
  <si>
    <t xml:space="preserve">        专项技术基础</t>
  </si>
  <si>
    <t xml:space="preserve">        科技人才队伍建设</t>
  </si>
  <si>
    <t xml:space="preserve">        其他基础研究支出</t>
  </si>
  <si>
    <t xml:space="preserve">    应用研究</t>
  </si>
  <si>
    <t xml:space="preserve">        社会公益研究</t>
  </si>
  <si>
    <t xml:space="preserve">        高技术研究</t>
  </si>
  <si>
    <t xml:space="preserve">        专项科研试制</t>
  </si>
  <si>
    <t xml:space="preserve">        其他应用研究支出</t>
  </si>
  <si>
    <t xml:space="preserve">    技术研究与开发</t>
  </si>
  <si>
    <t xml:space="preserve">        科技成果转化与扩散</t>
  </si>
  <si>
    <t xml:space="preserve">        共性技术研究与开发</t>
  </si>
  <si>
    <t xml:space="preserve">        其他技术研究与开发支出</t>
  </si>
  <si>
    <t xml:space="preserve">    科技条件与服务</t>
  </si>
  <si>
    <t xml:space="preserve">        技术创新服务体系</t>
  </si>
  <si>
    <t xml:space="preserve">        科技条件专项</t>
  </si>
  <si>
    <t xml:space="preserve">        其他科技条件与服务支出</t>
  </si>
  <si>
    <t xml:space="preserve">    社会科学</t>
  </si>
  <si>
    <t xml:space="preserve">        社会科学研究机构</t>
  </si>
  <si>
    <t xml:space="preserve">        社会科学研究</t>
  </si>
  <si>
    <t xml:space="preserve">        社科基金支出</t>
  </si>
  <si>
    <t xml:space="preserve">        其他社会科学支出</t>
  </si>
  <si>
    <t xml:space="preserve">    科学技术普及</t>
  </si>
  <si>
    <t xml:space="preserve">        科普活动</t>
  </si>
  <si>
    <t xml:space="preserve">        青少年科技活动</t>
  </si>
  <si>
    <t xml:space="preserve">        学术交流活动</t>
  </si>
  <si>
    <t xml:space="preserve">        科技馆站</t>
  </si>
  <si>
    <t xml:space="preserve">        其他科学技术普及支出</t>
  </si>
  <si>
    <t xml:space="preserve">    科技交流与合作</t>
  </si>
  <si>
    <t xml:space="preserve">        国际交流与合作</t>
  </si>
  <si>
    <t xml:space="preserve">        重大科技合作项目</t>
  </si>
  <si>
    <t xml:space="preserve">        其他科技交流与合作支出</t>
  </si>
  <si>
    <t xml:space="preserve">    科技重大项目</t>
  </si>
  <si>
    <t xml:space="preserve">        科技重大专项</t>
  </si>
  <si>
    <t xml:space="preserve">        重点研发计划</t>
  </si>
  <si>
    <t xml:space="preserve">        其他科技重大项目</t>
  </si>
  <si>
    <t xml:space="preserve">    其他科学技术支出</t>
  </si>
  <si>
    <t xml:space="preserve">        科技奖励</t>
  </si>
  <si>
    <t xml:space="preserve">        核应急</t>
  </si>
  <si>
    <t xml:space="preserve">        转制科研机构</t>
  </si>
  <si>
    <t xml:space="preserve">        其他科学技术支出</t>
  </si>
  <si>
    <t>6、文化旅游体育与传媒支出</t>
  </si>
  <si>
    <t xml:space="preserve">    文化和旅游</t>
  </si>
  <si>
    <t xml:space="preserve">        图书馆</t>
  </si>
  <si>
    <t xml:space="preserve">        文化展示及纪念机构</t>
  </si>
  <si>
    <t xml:space="preserve">        艺术表演场所</t>
  </si>
  <si>
    <t xml:space="preserve">        艺术表演团体</t>
  </si>
  <si>
    <t xml:space="preserve">        文化活动</t>
  </si>
  <si>
    <t xml:space="preserve">        群众文化</t>
  </si>
  <si>
    <t xml:space="preserve">        文化和旅游交流与合作</t>
  </si>
  <si>
    <t xml:space="preserve">        文化创作与保护</t>
  </si>
  <si>
    <t xml:space="preserve">        文化和旅游市场管理</t>
  </si>
  <si>
    <t xml:space="preserve">        旅游宣传</t>
  </si>
  <si>
    <t xml:space="preserve">        文化和旅游管理事务</t>
  </si>
  <si>
    <t xml:space="preserve">        其他文化和旅游支出</t>
  </si>
  <si>
    <t xml:space="preserve">    文物</t>
  </si>
  <si>
    <t xml:space="preserve">        文物保护</t>
  </si>
  <si>
    <t xml:space="preserve">        博物馆</t>
  </si>
  <si>
    <t xml:space="preserve">        历史名城与古迹</t>
  </si>
  <si>
    <t xml:space="preserve">        其他文物支出</t>
  </si>
  <si>
    <t xml:space="preserve">    体育</t>
  </si>
  <si>
    <t xml:space="preserve">        运动项目管理</t>
  </si>
  <si>
    <t xml:space="preserve">        体育竞赛</t>
  </si>
  <si>
    <t xml:space="preserve">        体育训练</t>
  </si>
  <si>
    <t xml:space="preserve">        体育场馆</t>
  </si>
  <si>
    <t xml:space="preserve">        群众体育</t>
  </si>
  <si>
    <t xml:space="preserve">        体育交流与合作</t>
  </si>
  <si>
    <t xml:space="preserve">        其他体育支出</t>
  </si>
  <si>
    <t xml:space="preserve">    新闻出版电影</t>
  </si>
  <si>
    <t xml:space="preserve">        新闻通讯</t>
  </si>
  <si>
    <t xml:space="preserve">        出版发行</t>
  </si>
  <si>
    <t xml:space="preserve">        版权管理  </t>
  </si>
  <si>
    <t xml:space="preserve">        电影</t>
  </si>
  <si>
    <t xml:space="preserve">        其他新闻出版电影支出</t>
  </si>
  <si>
    <t xml:space="preserve">    广播电视</t>
  </si>
  <si>
    <t xml:space="preserve">        监测监管</t>
  </si>
  <si>
    <t xml:space="preserve">        传输发射</t>
  </si>
  <si>
    <t xml:space="preserve">        广播电视事务</t>
  </si>
  <si>
    <t xml:space="preserve">        其他广播电视支出</t>
  </si>
  <si>
    <t xml:space="preserve">    其他文化旅游体育与传媒支出</t>
  </si>
  <si>
    <t xml:space="preserve">        文化产业发展专项支出</t>
  </si>
  <si>
    <t xml:space="preserve">        其他文化旅游体育与传媒支出</t>
  </si>
  <si>
    <t>7、社会保障和就业支出</t>
  </si>
  <si>
    <t xml:space="preserve">    人力资源和社会保障管理事务</t>
  </si>
  <si>
    <t xml:space="preserve">        综合业务管理</t>
  </si>
  <si>
    <t xml:space="preserve">        劳动保障监察</t>
  </si>
  <si>
    <t xml:space="preserve">        就业管理事务</t>
  </si>
  <si>
    <t xml:space="preserve">        社会保险业务管理事务</t>
  </si>
  <si>
    <t xml:space="preserve">        社会保险经办机构</t>
  </si>
  <si>
    <t xml:space="preserve">        劳动关系和维权</t>
  </si>
  <si>
    <t xml:space="preserve">        公共就业服务和职业技能鉴定机构</t>
  </si>
  <si>
    <t xml:space="preserve">        劳动人事争议调解仲裁</t>
  </si>
  <si>
    <t xml:space="preserve">        政府特殊津贴</t>
  </si>
  <si>
    <t xml:space="preserve">        资助留学回国人员</t>
  </si>
  <si>
    <t xml:space="preserve">        博士后日常经费</t>
  </si>
  <si>
    <t xml:space="preserve">        引进人才费用</t>
  </si>
  <si>
    <t xml:space="preserve">        其他人力资源和社会保障管理事务支出</t>
  </si>
  <si>
    <t xml:space="preserve">    民政管理事务</t>
  </si>
  <si>
    <t xml:space="preserve">        社会组织和管理</t>
  </si>
  <si>
    <t xml:space="preserve">        行政区划和地名管理</t>
  </si>
  <si>
    <t xml:space="preserve">        老龄事务</t>
  </si>
  <si>
    <t xml:space="preserve">        其他民政管理事务支出</t>
  </si>
  <si>
    <t xml:space="preserve">    补充全国社会保障基金</t>
  </si>
  <si>
    <t xml:space="preserve">    行政事业单位养老支出</t>
  </si>
  <si>
    <t xml:space="preserve">        行政单位离退休</t>
  </si>
  <si>
    <t xml:space="preserve">        事业单位离退休</t>
  </si>
  <si>
    <t xml:space="preserve">        离退休人员管理机构</t>
  </si>
  <si>
    <t xml:space="preserve">        机关事业单位基本养老保险缴费支出</t>
  </si>
  <si>
    <t xml:space="preserve">        机关事业单位职业年金缴费支出</t>
  </si>
  <si>
    <t xml:space="preserve">        对机关事业单位基本养老保险基金的补助</t>
  </si>
  <si>
    <t xml:space="preserve">        对机关事业单位职业年金的补助</t>
  </si>
  <si>
    <t xml:space="preserve">        其他行政事业单位养老支出</t>
  </si>
  <si>
    <t xml:space="preserve">    企业改革补助</t>
  </si>
  <si>
    <t xml:space="preserve">        企业关闭破产补助</t>
  </si>
  <si>
    <t xml:space="preserve">        厂办大集体改革补助</t>
  </si>
  <si>
    <t xml:space="preserve">        其他企业改革发展补助</t>
  </si>
  <si>
    <t xml:space="preserve">    就业补助</t>
  </si>
  <si>
    <t xml:space="preserve">        就业创业服务补助</t>
  </si>
  <si>
    <t xml:space="preserve">        职业培训补贴</t>
  </si>
  <si>
    <t xml:space="preserve">        社会保险补贴</t>
  </si>
  <si>
    <t xml:space="preserve">        公益性岗位补贴</t>
  </si>
  <si>
    <t xml:space="preserve">        职业技能评价补贴</t>
  </si>
  <si>
    <t xml:space="preserve">        就业见习补贴</t>
  </si>
  <si>
    <t xml:space="preserve">        高技能人才培养补助</t>
  </si>
  <si>
    <t xml:space="preserve">        求职和创业补贴</t>
  </si>
  <si>
    <t xml:space="preserve">        其他就业补助支出</t>
  </si>
  <si>
    <t xml:space="preserve">    抚恤</t>
  </si>
  <si>
    <t xml:space="preserve">        死亡抚恤</t>
  </si>
  <si>
    <t xml:space="preserve">        伤残抚恤</t>
  </si>
  <si>
    <t xml:space="preserve">        在乡复员、退伍军人生活补助</t>
  </si>
  <si>
    <t xml:space="preserve">        义务兵优抚</t>
  </si>
  <si>
    <t xml:space="preserve">        农村籍退役士兵老年生活补助</t>
  </si>
  <si>
    <t xml:space="preserve">        光荣院</t>
  </si>
  <si>
    <t xml:space="preserve">        褒扬纪念</t>
  </si>
  <si>
    <t xml:space="preserve">        其他优抚支出</t>
  </si>
  <si>
    <t xml:space="preserve">    退役安置</t>
  </si>
  <si>
    <t xml:space="preserve">        退役士兵安置</t>
  </si>
  <si>
    <t xml:space="preserve">        军队移交政府的离退休人员安置</t>
  </si>
  <si>
    <t xml:space="preserve">        军队移交政府离退休干部管理机构</t>
  </si>
  <si>
    <t xml:space="preserve">        退役士兵管理教育</t>
  </si>
  <si>
    <t xml:space="preserve">        军队转业干部安置</t>
  </si>
  <si>
    <t xml:space="preserve">        其他退役安置支出</t>
  </si>
  <si>
    <t xml:space="preserve">    社会福利</t>
  </si>
  <si>
    <t xml:space="preserve">        儿童福利</t>
  </si>
  <si>
    <t xml:space="preserve">        老年福利</t>
  </si>
  <si>
    <t xml:space="preserve">        康复辅具</t>
  </si>
  <si>
    <t xml:space="preserve">        殡葬</t>
  </si>
  <si>
    <t xml:space="preserve">        社会福利事业单位</t>
  </si>
  <si>
    <t xml:space="preserve">        养老服务</t>
  </si>
  <si>
    <t xml:space="preserve">        其他社会福利支出</t>
  </si>
  <si>
    <t xml:space="preserve">    残疾人事业</t>
  </si>
  <si>
    <t xml:space="preserve">        残疾人康复</t>
  </si>
  <si>
    <t xml:space="preserve">        残疾人就业</t>
  </si>
  <si>
    <t xml:space="preserve">        残疾人体育</t>
  </si>
  <si>
    <t xml:space="preserve">        残疾人生活和护理补贴</t>
  </si>
  <si>
    <t xml:space="preserve">        其他残疾人事业支出</t>
  </si>
  <si>
    <t xml:space="preserve">    红十字事业</t>
  </si>
  <si>
    <t xml:space="preserve">        其他红十字事业支出</t>
  </si>
  <si>
    <t xml:space="preserve">    最低生活保障</t>
  </si>
  <si>
    <t xml:space="preserve">        城市最低生活保障金支出</t>
  </si>
  <si>
    <t xml:space="preserve">        农村最低生活保障金支出</t>
  </si>
  <si>
    <t xml:space="preserve">    临时救助</t>
  </si>
  <si>
    <t xml:space="preserve">        临时救助支出</t>
  </si>
  <si>
    <t xml:space="preserve">        流浪乞讨人员救助支出</t>
  </si>
  <si>
    <t xml:space="preserve">    特困人员救助供养</t>
  </si>
  <si>
    <t xml:space="preserve">        城市特困人员救助供养支出</t>
  </si>
  <si>
    <t xml:space="preserve">        农村特困人员救助供养支出</t>
  </si>
  <si>
    <t xml:space="preserve">    补充道路交通事故社会救助基金</t>
  </si>
  <si>
    <t xml:space="preserve">        对道路交通事故社会救助基金的补助</t>
  </si>
  <si>
    <t xml:space="preserve">        交强险罚款收入补助基金支出</t>
  </si>
  <si>
    <t xml:space="preserve">    其他生活救助</t>
  </si>
  <si>
    <t xml:space="preserve">        其他城市生活补助</t>
  </si>
  <si>
    <t xml:space="preserve">        其他农村生活补助</t>
  </si>
  <si>
    <t xml:space="preserve">    财政对基本养老保险基金的补助</t>
  </si>
  <si>
    <t xml:space="preserve">        财政对企业职工基本养老保险基金的补助</t>
  </si>
  <si>
    <t xml:space="preserve">        财政对城乡居民基本养老保险基金的补助</t>
  </si>
  <si>
    <t xml:space="preserve">        财政对其他基本养老保险基金的补助</t>
  </si>
  <si>
    <t xml:space="preserve">    财政对其他社会保险基金的补助</t>
  </si>
  <si>
    <t xml:space="preserve">        财政对失业保险基金的补助</t>
  </si>
  <si>
    <t xml:space="preserve">        财政对工伤保险基金的补助</t>
  </si>
  <si>
    <t xml:space="preserve">        其他财政对社会保险基金的补助</t>
  </si>
  <si>
    <t xml:space="preserve">    退役军人管理事务</t>
  </si>
  <si>
    <t xml:space="preserve">        拥军优属</t>
  </si>
  <si>
    <t xml:space="preserve">        军供保障</t>
  </si>
  <si>
    <t xml:space="preserve">        其他退役军人事务管理支出</t>
  </si>
  <si>
    <t xml:space="preserve">    财政代缴社会保险费支出</t>
  </si>
  <si>
    <t xml:space="preserve">        财政代缴城乡居民基本养老保险费支出</t>
  </si>
  <si>
    <t xml:space="preserve">        财政代缴其他社会保险费支出</t>
  </si>
  <si>
    <t xml:space="preserve">    其他社会保障和就业支出</t>
  </si>
  <si>
    <t>8、卫生健康支出</t>
  </si>
  <si>
    <t xml:space="preserve">    卫生健康管理事务</t>
  </si>
  <si>
    <t xml:space="preserve">        其他卫生健康管理事务支出</t>
  </si>
  <si>
    <t xml:space="preserve">    公立医院</t>
  </si>
  <si>
    <t xml:space="preserve">        综合医院</t>
  </si>
  <si>
    <t xml:space="preserve">        中医（民族）医院</t>
  </si>
  <si>
    <t xml:space="preserve">        传染病医院</t>
  </si>
  <si>
    <t xml:space="preserve">        职业病防治医院</t>
  </si>
  <si>
    <t xml:space="preserve">        精神病医院</t>
  </si>
  <si>
    <t xml:space="preserve">        妇幼保健医院</t>
  </si>
  <si>
    <t xml:space="preserve">        儿童医院</t>
  </si>
  <si>
    <t xml:space="preserve">        其他专科医院</t>
  </si>
  <si>
    <t xml:space="preserve">        福利医院</t>
  </si>
  <si>
    <t xml:space="preserve">        行业医院</t>
  </si>
  <si>
    <t xml:space="preserve">        处理医疗欠费</t>
  </si>
  <si>
    <t xml:space="preserve">        康复医院</t>
  </si>
  <si>
    <t xml:space="preserve">        优抚医院</t>
  </si>
  <si>
    <t xml:space="preserve">        其他公立医院支出</t>
  </si>
  <si>
    <t xml:space="preserve">    基层医疗卫生机构</t>
  </si>
  <si>
    <t xml:space="preserve">        城市社区卫生机构</t>
  </si>
  <si>
    <t xml:space="preserve">        乡镇卫生院</t>
  </si>
  <si>
    <t xml:space="preserve">        其他基层医疗卫生机构支出</t>
  </si>
  <si>
    <t xml:space="preserve">    公共卫生</t>
  </si>
  <si>
    <t xml:space="preserve">        疾病预防控制机构</t>
  </si>
  <si>
    <t xml:space="preserve">        卫生监督机构</t>
  </si>
  <si>
    <t xml:space="preserve">        妇幼保健机构</t>
  </si>
  <si>
    <t xml:space="preserve">        精神卫生机构</t>
  </si>
  <si>
    <t xml:space="preserve">        应急救治机构</t>
  </si>
  <si>
    <t xml:space="preserve">        采供血机构</t>
  </si>
  <si>
    <t xml:space="preserve">        其他专业公共卫生机构</t>
  </si>
  <si>
    <t xml:space="preserve">        基本公共卫生服务</t>
  </si>
  <si>
    <t xml:space="preserve">        重大公共卫生服务</t>
  </si>
  <si>
    <t xml:space="preserve">        突发公共卫生事件应急处理</t>
  </si>
  <si>
    <t xml:space="preserve">        其他公共卫生支出</t>
  </si>
  <si>
    <t xml:space="preserve">    计划生育事务</t>
  </si>
  <si>
    <t xml:space="preserve">        计划生育机构</t>
  </si>
  <si>
    <t xml:space="preserve">        计划生育服务</t>
  </si>
  <si>
    <t xml:space="preserve">        其他计划生育事务支出</t>
  </si>
  <si>
    <t xml:space="preserve">    行政事业单位医疗</t>
  </si>
  <si>
    <t xml:space="preserve">        行政单位医疗</t>
  </si>
  <si>
    <t xml:space="preserve">        事业单位医疗</t>
  </si>
  <si>
    <t xml:space="preserve">        公务员医疗补助</t>
  </si>
  <si>
    <t xml:space="preserve">        其他行政事业单位医疗支出</t>
  </si>
  <si>
    <t xml:space="preserve">    财政对基本医疗保险基金的补助</t>
  </si>
  <si>
    <t xml:space="preserve">        财政对职工基本医疗保险基金的补助</t>
  </si>
  <si>
    <t xml:space="preserve">        财政对城乡居民基本医疗保险基金的补助</t>
  </si>
  <si>
    <t xml:space="preserve">        财政对其他基本医疗保险基金的补助</t>
  </si>
  <si>
    <t xml:space="preserve">    医疗救助</t>
  </si>
  <si>
    <t xml:space="preserve">        城乡医疗救助</t>
  </si>
  <si>
    <t xml:space="preserve">        疾病应急救助</t>
  </si>
  <si>
    <t xml:space="preserve">        其他医疗救助支出</t>
  </si>
  <si>
    <t xml:space="preserve">    优抚对象医疗</t>
  </si>
  <si>
    <t xml:space="preserve">        优抚对象医疗补助</t>
  </si>
  <si>
    <t xml:space="preserve">        其他优抚对象医疗支出</t>
  </si>
  <si>
    <t xml:space="preserve">    医疗保障管理事务</t>
  </si>
  <si>
    <t xml:space="preserve">        医疗保障政策管理</t>
  </si>
  <si>
    <t xml:space="preserve">        医疗保障经办事务</t>
  </si>
  <si>
    <t xml:space="preserve">        其他医疗保障管理事务支出</t>
  </si>
  <si>
    <t xml:space="preserve">    中医药事务</t>
  </si>
  <si>
    <t xml:space="preserve">        中医（民族医）药专项</t>
  </si>
  <si>
    <t xml:space="preserve">        其他中医药事务支出</t>
  </si>
  <si>
    <t xml:space="preserve">    疾病预防控制事务</t>
  </si>
  <si>
    <t xml:space="preserve">        其他疾病预防控制事务支出</t>
  </si>
  <si>
    <t xml:space="preserve">    育幼服务</t>
  </si>
  <si>
    <t xml:space="preserve">        托育机构</t>
  </si>
  <si>
    <t xml:space="preserve">        育儿补贴</t>
  </si>
  <si>
    <t xml:space="preserve">        其他育幼服务支出</t>
  </si>
  <si>
    <t xml:space="preserve">    其他卫生健康事务</t>
  </si>
  <si>
    <t>9、节能环保支出</t>
  </si>
  <si>
    <t xml:space="preserve">    环境保护管理事务</t>
  </si>
  <si>
    <t xml:space="preserve">        生态环境保护宣传</t>
  </si>
  <si>
    <t xml:space="preserve">        环境保护法规、规划及标准</t>
  </si>
  <si>
    <t xml:space="preserve">        生态环境国际合作及履约</t>
  </si>
  <si>
    <t xml:space="preserve">        生态环境保护行政许可</t>
  </si>
  <si>
    <t xml:space="preserve">        应对气候变化管理事务</t>
  </si>
  <si>
    <t xml:space="preserve">        其他环境保护管理事务支出</t>
  </si>
  <si>
    <t xml:space="preserve">    环境监测与监察</t>
  </si>
  <si>
    <t xml:space="preserve">        建设项目环评审查与监督</t>
  </si>
  <si>
    <t xml:space="preserve">        核与辐射安全监督</t>
  </si>
  <si>
    <t xml:space="preserve">        其他环境监测与监察支出</t>
  </si>
  <si>
    <t xml:space="preserve">    污染防治</t>
  </si>
  <si>
    <t xml:space="preserve">        大气</t>
  </si>
  <si>
    <t xml:space="preserve">        水体</t>
  </si>
  <si>
    <t xml:space="preserve">        噪声</t>
  </si>
  <si>
    <t xml:space="preserve">        固体废弃物与化学品</t>
  </si>
  <si>
    <t xml:space="preserve">        放射源和放射性废物监管</t>
  </si>
  <si>
    <t xml:space="preserve">        辐射</t>
  </si>
  <si>
    <t xml:space="preserve">        土壤</t>
  </si>
  <si>
    <t xml:space="preserve">        其他污染防治支出</t>
  </si>
  <si>
    <t xml:space="preserve">    自然生态保护</t>
  </si>
  <si>
    <t xml:space="preserve">        生态保护</t>
  </si>
  <si>
    <t xml:space="preserve">        农村环境保护</t>
  </si>
  <si>
    <t xml:space="preserve">        生物及物种资源保护</t>
  </si>
  <si>
    <t xml:space="preserve">        草原生态修复治理</t>
  </si>
  <si>
    <t xml:space="preserve">        自然保护地</t>
  </si>
  <si>
    <t xml:space="preserve">        其他自然生态保护支出</t>
  </si>
  <si>
    <t xml:space="preserve">    森林保护修复</t>
  </si>
  <si>
    <t xml:space="preserve">        森林管护</t>
  </si>
  <si>
    <t xml:space="preserve">        社会保险补助</t>
  </si>
  <si>
    <t xml:space="preserve">        政策性社会性支出补助</t>
  </si>
  <si>
    <t xml:space="preserve">        天然林保护工程建设</t>
  </si>
  <si>
    <t xml:space="preserve">        停伐补助</t>
  </si>
  <si>
    <t xml:space="preserve">        其他森林保护修复支出</t>
  </si>
  <si>
    <t xml:space="preserve">    风沙荒漠治理</t>
  </si>
  <si>
    <t xml:space="preserve">    退牧还草</t>
  </si>
  <si>
    <t xml:space="preserve">    已垦草原退耕还草</t>
  </si>
  <si>
    <t xml:space="preserve">    能源节约利用</t>
  </si>
  <si>
    <t xml:space="preserve">    污染减排</t>
  </si>
  <si>
    <t xml:space="preserve">        生态环境监测与信息</t>
  </si>
  <si>
    <t xml:space="preserve">        生态环境执法监察</t>
  </si>
  <si>
    <t xml:space="preserve">        减排专项支出</t>
  </si>
  <si>
    <t xml:space="preserve">        清洁生产专项支出</t>
  </si>
  <si>
    <t xml:space="preserve">        其他污染减排支出</t>
  </si>
  <si>
    <t xml:space="preserve">    清洁能源</t>
  </si>
  <si>
    <t xml:space="preserve">    循环经济</t>
  </si>
  <si>
    <t xml:space="preserve">    能源管理事务</t>
  </si>
  <si>
    <t xml:space="preserve">        能源科技装备</t>
  </si>
  <si>
    <t xml:space="preserve">        能源行业管理</t>
  </si>
  <si>
    <t xml:space="preserve">        能源管理</t>
  </si>
  <si>
    <t xml:space="preserve">        农村电网建设</t>
  </si>
  <si>
    <t xml:space="preserve">        其他能源管理事务</t>
  </si>
  <si>
    <t xml:space="preserve">    其他节能环保支出</t>
  </si>
  <si>
    <t>10、城乡社区支出</t>
  </si>
  <si>
    <t xml:space="preserve">    城乡社区管理事务</t>
  </si>
  <si>
    <t xml:space="preserve">        城管执法</t>
  </si>
  <si>
    <t xml:space="preserve">        工程建设标准规范编制与监管</t>
  </si>
  <si>
    <t xml:space="preserve">        工程建设管理</t>
  </si>
  <si>
    <t xml:space="preserve">        市政公用行业市场监管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</si>
  <si>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</si>
  <si>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</si>
  <si>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</si>
  <si>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城乡社区规划与管理</t>
  </si>
  <si>
    <t xml:space="preserve">    城乡社区公共设施</t>
  </si>
  <si>
    <t xml:space="preserve">        小城镇基础设施建设</t>
  </si>
  <si>
    <t xml:space="preserve">        其他城乡社区公共设施支出</t>
  </si>
  <si>
    <t xml:space="preserve">    城乡社区环境卫生</t>
  </si>
  <si>
    <t xml:space="preserve">    建设市场管理与监督</t>
  </si>
  <si>
    <t xml:space="preserve">    其他城乡社区支出</t>
  </si>
  <si>
    <t>11、农林水支出</t>
  </si>
  <si>
    <t xml:space="preserve">    农业农村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</si>
  <si>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</si>
  <si>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</si>
  <si>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</si>
  <si>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</si>
  <si>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</si>
  <si>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统计监测与信息服务</t>
  </si>
  <si>
    <t xml:space="preserve">        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</si>
  <si>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</si>
  <si>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</si>
  <si>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</si>
  <si>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</si>
  <si>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农业生产发展</t>
  </si>
  <si>
    <t xml:space="preserve">        农村合作经济</t>
  </si>
  <si>
    <t xml:space="preserve">        农产品加工与促销</t>
  </si>
  <si>
    <t xml:space="preserve">        农村社会事业</t>
  </si>
  <si>
    <t xml:space="preserve">        农业生态资源保护</t>
  </si>
  <si>
    <t xml:space="preserve">        乡村道路建设</t>
  </si>
  <si>
    <t xml:space="preserve">        渔业发展</t>
  </si>
  <si>
    <t xml:space="preserve">        对高校毕业生到基层任职补助</t>
  </si>
  <si>
    <t xml:space="preserve">        耕地建设与利用</t>
  </si>
  <si>
    <t xml:space="preserve">        其他农业农村支出</t>
  </si>
  <si>
    <t xml:space="preserve">    林业和草原</t>
  </si>
  <si>
    <t xml:space="preserve">        事业机构</t>
  </si>
  <si>
    <t xml:space="preserve">        森林资源培育</t>
  </si>
  <si>
    <t xml:space="preserve">        技术推广与转化</t>
  </si>
  <si>
    <t xml:space="preserve">        森林资源管理</t>
  </si>
  <si>
    <t xml:space="preserve">        森林生态效益补偿</t>
  </si>
  <si>
    <t xml:space="preserve">        动植物保护</t>
  </si>
  <si>
    <t xml:space="preserve">        湿地保护</t>
  </si>
  <si>
    <t xml:space="preserve">        执法与监督</t>
  </si>
  <si>
    <t xml:space="preserve">        防沙治沙</t>
  </si>
  <si>
    <t xml:space="preserve">        对外合作与交流</t>
  </si>
  <si>
    <t xml:space="preserve">        产业化管理</t>
  </si>
  <si>
    <t xml:space="preserve">        信息管理</t>
  </si>
  <si>
    <t xml:space="preserve">        林区公共支出</t>
  </si>
  <si>
    <t xml:space="preserve">        贷款贴息</t>
  </si>
  <si>
    <t xml:space="preserve">        林业草原防灾减灾</t>
  </si>
  <si>
    <t xml:space="preserve">        草原管理</t>
  </si>
  <si>
    <t xml:space="preserve">        退耕还林还草</t>
  </si>
  <si>
    <t xml:space="preserve">        其他林业和草原支出</t>
  </si>
  <si>
    <t xml:space="preserve">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</si>
  <si>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</si>
  <si>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</si>
  <si>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</si>
  <si>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</si>
  <si>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</si>
  <si>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</si>
  <si>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</si>
  <si>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</si>
  <si>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</si>
  <si>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</si>
  <si>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</si>
  <si>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农村水利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</si>
  <si>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</si>
  <si>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</si>
  <si>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</si>
  <si>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</si>
  <si>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</si>
  <si>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水利建设征地及移民支出</t>
  </si>
  <si>
    <t xml:space="preserve">        农村供水</t>
  </si>
  <si>
    <t xml:space="preserve">        其他水利支出</t>
  </si>
  <si>
    <t xml:space="preserve">    巩固脱贫攻坚成果衔接乡村振兴</t>
  </si>
  <si>
    <t xml:space="preserve">        农村基础设施建设</t>
  </si>
  <si>
    <t xml:space="preserve">        生产发展</t>
  </si>
  <si>
    <t xml:space="preserve">        社会发展</t>
  </si>
  <si>
    <t xml:space="preserve">        贷款奖补和贴息</t>
  </si>
  <si>
    <t xml:space="preserve">        其他巩固脱贫攻坚成果衔接乡村振兴支出</t>
  </si>
  <si>
    <t xml:space="preserve">    农村综合改革</t>
  </si>
  <si>
    <t xml:space="preserve">        对村级公益事业建设的补助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</si>
  <si>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</si>
  <si>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</si>
  <si>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</si>
  <si>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</si>
  <si>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普惠金融发展支出</t>
  </si>
  <si>
    <t xml:space="preserve">        支持农村金融机构</t>
  </si>
  <si>
    <t xml:space="preserve">        农业保险保费补贴</t>
  </si>
  <si>
    <t xml:space="preserve">        创业担保贷款贴息及奖补</t>
  </si>
  <si>
    <t xml:space="preserve">        补充创业担保贷款基金</t>
  </si>
  <si>
    <t xml:space="preserve">        其他普惠金融发展支出</t>
  </si>
  <si>
    <t xml:space="preserve">    目标价格补贴</t>
  </si>
  <si>
    <t xml:space="preserve">        棉花目标价格补贴</t>
  </si>
  <si>
    <t xml:space="preserve">        其他目标价格补贴</t>
  </si>
  <si>
    <t xml:space="preserve">    其他农林水支出</t>
  </si>
  <si>
    <t xml:space="preserve">        化解其他公益性乡村债务支出</t>
  </si>
  <si>
    <t xml:space="preserve">        其他农林水支出</t>
  </si>
  <si>
    <t>12、交通运输支出</t>
  </si>
  <si>
    <t xml:space="preserve">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</si>
  <si>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</si>
  <si>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</si>
  <si>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</si>
  <si>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</si>
  <si>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公路运输管理</t>
  </si>
  <si>
    <t xml:space="preserve">        公路和运输技术标准化建设</t>
  </si>
  <si>
    <t xml:space="preserve">        水运建设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</si>
  <si>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</si>
  <si>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</si>
  <si>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</si>
  <si>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</si>
  <si>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</si>
  <si>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</si>
  <si>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</si>
  <si>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</si>
  <si>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</si>
  <si>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其他公路水路运输支出</t>
  </si>
  <si>
    <t xml:space="preserve">    铁路运输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</si>
  <si>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</si>
  <si>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</si>
  <si>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</si>
  <si>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</si>
  <si>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</si>
  <si>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</si>
  <si>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</si>
  <si>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</si>
  <si>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</si>
  <si>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</si>
  <si>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</si>
  <si>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</si>
  <si>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</si>
  <si>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邮政业支出</t>
  </si>
  <si>
    <t xml:space="preserve">        邮政普遍服务与特殊服务</t>
  </si>
  <si>
    <t xml:space="preserve">        其他邮政业支出</t>
  </si>
  <si>
    <t xml:space="preserve">    其他交通运输支出</t>
  </si>
  <si>
    <t xml:space="preserve">        公共交通运营补助</t>
  </si>
  <si>
    <t xml:space="preserve">        其他交通运输支出</t>
  </si>
  <si>
    <t>13、资源勘探工业信息等支出</t>
  </si>
  <si>
    <t xml:space="preserve">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</si>
  <si>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</si>
  <si>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</si>
  <si>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</si>
  <si>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</si>
  <si>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</si>
  <si>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</si>
  <si>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</si>
  <si>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</si>
  <si>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</si>
  <si>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</si>
  <si>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</si>
  <si>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</si>
  <si>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</si>
  <si>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</si>
  <si>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</si>
  <si>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</si>
  <si>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</si>
  <si>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</si>
  <si>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</si>
  <si>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建筑业</t>
  </si>
  <si>
    <t xml:space="preserve">        其他建筑业支出</t>
  </si>
  <si>
    <t xml:space="preserve">    工业和信息产业</t>
  </si>
  <si>
    <t xml:space="preserve">        战备应急</t>
  </si>
  <si>
    <t xml:space="preserve">        专用通信</t>
  </si>
  <si>
    <t xml:space="preserve">        无线电及信息通信监管</t>
  </si>
  <si>
    <t xml:space="preserve">        工程建设及运行维护</t>
  </si>
  <si>
    <t xml:space="preserve">        产业发展</t>
  </si>
  <si>
    <t xml:space="preserve">        其他工业和信息产业支出</t>
  </si>
  <si>
    <t xml:space="preserve">    国有资产监管</t>
  </si>
  <si>
    <t xml:space="preserve">        国有企业监事会专项</t>
  </si>
  <si>
    <t xml:space="preserve">        其他国有资产监管支出</t>
  </si>
  <si>
    <t xml:space="preserve">    支持中小企业发展和管理支出</t>
  </si>
  <si>
    <t xml:space="preserve">        科技型中小企业技术创新基金</t>
  </si>
  <si>
    <t xml:space="preserve">        中小企业发展专项</t>
  </si>
  <si>
    <t xml:space="preserve">        减免房租补贴</t>
  </si>
  <si>
    <t xml:space="preserve">        其他支持中小企业发展和管理支出</t>
  </si>
  <si>
    <t xml:space="preserve">    其他资源勘探工业信息等支出</t>
  </si>
  <si>
    <t xml:space="preserve">        黄金事务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</si>
  <si>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</si>
  <si>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</si>
  <si>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</si>
  <si>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其他资源勘探工业信息支出</t>
  </si>
  <si>
    <t>14、商业服务业等支出</t>
  </si>
  <si>
    <t xml:space="preserve">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</si>
  <si>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</si>
  <si>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</si>
  <si>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</si>
  <si>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</si>
  <si>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</si>
  <si>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涉外发展服务支出</t>
  </si>
  <si>
    <t xml:space="preserve">        外商投资环境建设补助资金</t>
  </si>
  <si>
    <t xml:space="preserve">        其他涉外发展服务支出</t>
  </si>
  <si>
    <t xml:space="preserve">    其他商业服务业等支出</t>
  </si>
  <si>
    <t xml:space="preserve">        服务业基础设施建设</t>
  </si>
  <si>
    <t xml:space="preserve">        其他商业服务业等支出</t>
  </si>
  <si>
    <t>15、金融支出</t>
  </si>
  <si>
    <t xml:space="preserve">    金融部门行政支出</t>
  </si>
  <si>
    <t xml:space="preserve">        安全防卫</t>
  </si>
  <si>
    <t xml:space="preserve">        金融部门其他行政支出</t>
  </si>
  <si>
    <t xml:space="preserve">    金融部门监管支出</t>
  </si>
  <si>
    <t xml:space="preserve">        重点金融机构监管</t>
  </si>
  <si>
    <t xml:space="preserve">        金融稽查与案件处理</t>
  </si>
  <si>
    <t xml:space="preserve">        金融行业电子化建设</t>
  </si>
  <si>
    <t xml:space="preserve">        从业人员资格考试</t>
  </si>
  <si>
    <t xml:space="preserve">        金融部门其他监管支出</t>
  </si>
  <si>
    <t xml:space="preserve">    金融发展支出</t>
  </si>
  <si>
    <t xml:space="preserve">        政策性银行亏损补贴</t>
  </si>
  <si>
    <t xml:space="preserve">        利息费用补贴支出</t>
  </si>
  <si>
    <t xml:space="preserve">        补充资本金</t>
  </si>
  <si>
    <t xml:space="preserve">        风险基金补助</t>
  </si>
  <si>
    <t xml:space="preserve">        其他金融发展支出</t>
  </si>
  <si>
    <t xml:space="preserve">    金融调控支出</t>
  </si>
  <si>
    <t xml:space="preserve">    其他金融支出</t>
  </si>
  <si>
    <t xml:space="preserve">        重点企业贷款贴息</t>
  </si>
  <si>
    <t xml:space="preserve">        其他金融支出</t>
  </si>
  <si>
    <t>16、自然资源海洋气象等支出</t>
  </si>
  <si>
    <t xml:space="preserve">    自然资源事务</t>
  </si>
  <si>
    <t xml:space="preserve">        自然资源规划及管理</t>
  </si>
  <si>
    <t xml:space="preserve">        自然资源利用与保护</t>
  </si>
  <si>
    <t xml:space="preserve">        自然资源社会公益服务</t>
  </si>
  <si>
    <t xml:space="preserve">        自然资源行业业务管理</t>
  </si>
  <si>
    <t xml:space="preserve">        自然资源调查与确权登记</t>
  </si>
  <si>
    <t xml:space="preserve">        土地资源储备支出</t>
  </si>
  <si>
    <t xml:space="preserve">        地质矿产资源与环境调查</t>
  </si>
  <si>
    <t xml:space="preserve">        地质勘察与矿产资源管理</t>
  </si>
  <si>
    <t xml:space="preserve">        地质转产项目财政贴息</t>
  </si>
  <si>
    <t xml:space="preserve">        其他自然资源事务支出</t>
  </si>
  <si>
    <t xml:space="preserve">    气象事务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</si>
  <si>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</si>
  <si>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</si>
  <si>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</si>
  <si>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</si>
  <si>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</si>
  <si>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</si>
  <si>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</si>
  <si>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其他气象事务支出</t>
  </si>
  <si>
    <t xml:space="preserve">    其他自然资源海洋气象等支出</t>
  </si>
  <si>
    <t>17、住房保障支出</t>
  </si>
  <si>
    <t xml:space="preserve">    保障性安居工程支出</t>
  </si>
  <si>
    <t xml:space="preserve">        沉陷区治理</t>
  </si>
  <si>
    <t xml:space="preserve">        棚户区改造</t>
  </si>
  <si>
    <t xml:space="preserve">        农村危房改造</t>
  </si>
  <si>
    <t xml:space="preserve">        老旧小区改造</t>
  </si>
  <si>
    <t xml:space="preserve">        配租型住房保障</t>
  </si>
  <si>
    <t xml:space="preserve">        配售型保障性住房</t>
  </si>
  <si>
    <t xml:space="preserve">        城中村改造</t>
  </si>
  <si>
    <t xml:space="preserve">        其他保障性安居工程支出</t>
  </si>
  <si>
    <t xml:space="preserve">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</si>
  <si>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</si>
  <si>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</si>
  <si>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</si>
  <si>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</si>
  <si>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</si>
  <si>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</si>
  <si>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</si>
  <si>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>18、粮油物资储备支出</t>
  </si>
  <si>
    <t xml:space="preserve">    粮油物资事务</t>
  </si>
  <si>
    <t xml:space="preserve">        财务和审计支出</t>
  </si>
  <si>
    <t xml:space="preserve">        信息统计</t>
  </si>
  <si>
    <t xml:space="preserve">        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</si>
  <si>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</si>
  <si>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</si>
  <si>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</si>
  <si>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</si>
  <si>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</si>
  <si>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</si>
  <si>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设施建设</t>
  </si>
  <si>
    <t xml:space="preserve">        设施安全</t>
  </si>
  <si>
    <t xml:space="preserve">        物资保管保养</t>
  </si>
  <si>
    <t xml:space="preserve">        其他粮油物资事务支出</t>
  </si>
  <si>
    <t xml:space="preserve">    能源储备</t>
  </si>
  <si>
    <t xml:space="preserve">        石油储备</t>
  </si>
  <si>
    <t xml:space="preserve">        天然铀储备</t>
  </si>
  <si>
    <t xml:space="preserve">        煤炭储备</t>
  </si>
  <si>
    <t xml:space="preserve">        成品油储备</t>
  </si>
  <si>
    <t xml:space="preserve">        天然气储备</t>
  </si>
  <si>
    <t xml:space="preserve">        其他能源储备支出</t>
  </si>
  <si>
    <t xml:space="preserve">    粮油储备</t>
  </si>
  <si>
    <t xml:space="preserve">        储备粮油补贴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</si>
  <si>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</si>
  <si>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</si>
  <si>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</si>
  <si>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  其他粮油储备支出</t>
  </si>
  <si>
    <t xml:space="preserve">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</si>
  <si>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</si>
  <si>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</si>
  <si>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</si>
  <si>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</si>
  <si>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</si>
  <si>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</si>
  <si>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</si>
  <si>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</si>
  <si>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</si>
  <si>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</si>
  <si>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应急物资储备</t>
  </si>
  <si>
    <t xml:space="preserve">        其他重要商品储备支出</t>
  </si>
  <si>
    <t>19、灾害防治及应急管理支出</t>
  </si>
  <si>
    <t xml:space="preserve">    应急管理事务</t>
  </si>
  <si>
    <t xml:space="preserve">        灾害风险防治</t>
  </si>
  <si>
    <t xml:space="preserve">        安全监管</t>
  </si>
  <si>
    <t xml:space="preserve">        应急救援</t>
  </si>
  <si>
    <t xml:space="preserve">        应急管理</t>
  </si>
  <si>
    <t xml:space="preserve">        其他应急管理支出</t>
  </si>
  <si>
    <t xml:space="preserve">    消防救援事务</t>
  </si>
  <si>
    <t xml:space="preserve">        消防应急救援</t>
  </si>
  <si>
    <t xml:space="preserve">        其他消防救援事务支出</t>
  </si>
  <si>
    <t xml:space="preserve">    矿山安全</t>
  </si>
  <si>
    <t xml:space="preserve">    地震事务</t>
  </si>
  <si>
    <t xml:space="preserve">        地震监测</t>
  </si>
  <si>
    <t xml:space="preserve">        地震预测预报</t>
  </si>
  <si>
    <t xml:space="preserve">        地震灾害预防</t>
  </si>
  <si>
    <t xml:space="preserve">        地震应急救援</t>
  </si>
  <si>
    <t xml:space="preserve">        地震环境探察</t>
  </si>
  <si>
    <t xml:space="preserve">        防震减灾信息管理</t>
  </si>
  <si>
    <t xml:space="preserve">        防震减灾基础管理</t>
  </si>
  <si>
    <t xml:space="preserve">        地震事业机构</t>
  </si>
  <si>
    <t xml:space="preserve">        其他地震事务支出</t>
  </si>
  <si>
    <t xml:space="preserve">    自然灾害防治</t>
  </si>
  <si>
    <t xml:space="preserve">        地质灾害防治</t>
  </si>
  <si>
    <t xml:space="preserve">        森林草原防灾减灾</t>
  </si>
  <si>
    <t xml:space="preserve">        其他自然灾害防治支出</t>
  </si>
  <si>
    <t xml:space="preserve">    自然灾害救灾及恢复重建支出</t>
  </si>
  <si>
    <t xml:space="preserve">        自然灾害救灾补助</t>
  </si>
  <si>
    <t xml:space="preserve">        自然灾害灾后重建补助</t>
  </si>
  <si>
    <t xml:space="preserve">        其他自然灾害救灾及恢复重建支出</t>
  </si>
  <si>
    <t xml:space="preserve">    其他灾害防治及应急管理支出</t>
  </si>
  <si>
    <t>20、预备费</t>
  </si>
  <si>
    <t>21、其他支出</t>
  </si>
  <si>
    <t xml:space="preserve">    年初预留</t>
  </si>
  <si>
    <t xml:space="preserve">    其他支出</t>
  </si>
  <si>
    <t>22、债务付息支出</t>
  </si>
  <si>
    <t xml:space="preserve">  地方政府一般债务付息支出</t>
  </si>
  <si>
    <t>23、债务发行费用支出</t>
  </si>
  <si>
    <t xml:space="preserve">  地方政府一般债务发行费用支出</t>
  </si>
  <si>
    <t>一般公共预算支出合计</t>
  </si>
  <si>
    <t>转移性支出合计</t>
  </si>
  <si>
    <t xml:space="preserve">    返还性支出</t>
  </si>
  <si>
    <t xml:space="preserve">    一般性转移支付</t>
  </si>
  <si>
    <t xml:space="preserve">    专项转移支付</t>
  </si>
  <si>
    <t xml:space="preserve">    补助下级支出</t>
  </si>
  <si>
    <t xml:space="preserve">    上解支出</t>
  </si>
  <si>
    <t xml:space="preserve">        体制上解支出</t>
  </si>
  <si>
    <t xml:space="preserve">        专项上解支出</t>
  </si>
  <si>
    <t xml:space="preserve">    调出资金</t>
  </si>
  <si>
    <t xml:space="preserve">    安排预算稳定调节基金</t>
  </si>
  <si>
    <t xml:space="preserve">    年终结余</t>
  </si>
  <si>
    <t>债务还本支出</t>
  </si>
  <si>
    <t>支出总计</t>
  </si>
  <si>
    <t>附件1-4</t>
  </si>
  <si>
    <t>玉林市市级一般公共预算2026年支出预算(草案)</t>
  </si>
  <si>
    <t>2025年完成情况（填到款级）</t>
  </si>
  <si>
    <t>一般公共预算本级基本支出表（按政府预算支出经济分类科目）</t>
  </si>
  <si>
    <t>单位：万元</t>
  </si>
  <si>
    <t>政府经济分类科目编码（末级）</t>
  </si>
  <si>
    <t>政府经济分类科目名称</t>
  </si>
  <si>
    <t>基本支出</t>
  </si>
  <si>
    <t>**</t>
  </si>
  <si>
    <t/>
  </si>
  <si>
    <t>合计</t>
  </si>
  <si>
    <t>50101</t>
  </si>
  <si>
    <t>工资奖金津补贴</t>
  </si>
  <si>
    <t>50102</t>
  </si>
  <si>
    <t>社会保障缴费</t>
  </si>
  <si>
    <t>50103</t>
  </si>
  <si>
    <t>住房公积金</t>
  </si>
  <si>
    <t>50199</t>
  </si>
  <si>
    <t>其他工资福利支出</t>
  </si>
  <si>
    <t>50201</t>
  </si>
  <si>
    <t>办公经费</t>
  </si>
  <si>
    <t>50202</t>
  </si>
  <si>
    <t>会议费</t>
  </si>
  <si>
    <t>50203</t>
  </si>
  <si>
    <t>培训费</t>
  </si>
  <si>
    <t>50204</t>
  </si>
  <si>
    <t>专用材料购置费</t>
  </si>
  <si>
    <t>50205</t>
  </si>
  <si>
    <t>委托业务费</t>
  </si>
  <si>
    <t>50206</t>
  </si>
  <si>
    <t>公务接待费</t>
  </si>
  <si>
    <t>50207</t>
  </si>
  <si>
    <t>因公出国（境）费用</t>
  </si>
  <si>
    <t>50208</t>
  </si>
  <si>
    <t>公务用车运行维护费</t>
  </si>
  <si>
    <t>50209</t>
  </si>
  <si>
    <t>维修（护）费</t>
  </si>
  <si>
    <t>50299</t>
  </si>
  <si>
    <t>其他商品和服务支出</t>
  </si>
  <si>
    <t>房屋建筑物购建</t>
  </si>
  <si>
    <t>50302</t>
  </si>
  <si>
    <t>基础设施建设</t>
  </si>
  <si>
    <t>50303</t>
  </si>
  <si>
    <t>公务用车购置</t>
  </si>
  <si>
    <t>50306</t>
  </si>
  <si>
    <t>设备购置</t>
  </si>
  <si>
    <t>50399</t>
  </si>
  <si>
    <t>其他资本性支出</t>
  </si>
  <si>
    <t>50404</t>
  </si>
  <si>
    <t>50501</t>
  </si>
  <si>
    <t>工资福利支出</t>
  </si>
  <si>
    <t>50502</t>
  </si>
  <si>
    <t>商品和服务支出</t>
  </si>
  <si>
    <t>50601</t>
  </si>
  <si>
    <t>资本性支出</t>
  </si>
  <si>
    <t>50701</t>
  </si>
  <si>
    <t>费用补贴</t>
  </si>
  <si>
    <t>50702</t>
  </si>
  <si>
    <t>利息补贴</t>
  </si>
  <si>
    <t>50799</t>
  </si>
  <si>
    <t>其他对企业补助</t>
  </si>
  <si>
    <t>50803</t>
  </si>
  <si>
    <t>资本金注入</t>
  </si>
  <si>
    <t>50901</t>
  </si>
  <si>
    <t>社会福利和救助</t>
  </si>
  <si>
    <t>50902</t>
  </si>
  <si>
    <t>助学金</t>
  </si>
  <si>
    <t>50903</t>
  </si>
  <si>
    <t>个人农业生产补贴</t>
  </si>
  <si>
    <t>50905</t>
  </si>
  <si>
    <t>离退休费</t>
  </si>
  <si>
    <t>50999</t>
  </si>
  <si>
    <t>其他对个人和家庭的补助</t>
  </si>
  <si>
    <t>51002</t>
  </si>
  <si>
    <t>对社会保险基金补助</t>
  </si>
  <si>
    <t>51101</t>
  </si>
  <si>
    <t>国内债务付息</t>
  </si>
  <si>
    <t>51201</t>
  </si>
  <si>
    <t>国内债务还本</t>
  </si>
  <si>
    <t>51103</t>
  </si>
  <si>
    <t>国内债务发行费用</t>
  </si>
  <si>
    <t>51401</t>
  </si>
  <si>
    <t>预备费</t>
  </si>
  <si>
    <t>51402</t>
  </si>
  <si>
    <t>预留</t>
  </si>
  <si>
    <t>59999</t>
  </si>
  <si>
    <t>其他支出</t>
  </si>
  <si>
    <t>一般公共预算转移支付表（分地区）</t>
  </si>
  <si>
    <t>项目</t>
  </si>
  <si>
    <t>一、返还性支出</t>
  </si>
  <si>
    <t>二、一般性转移支付</t>
  </si>
  <si>
    <t xml:space="preserve">    体制补助支出</t>
  </si>
  <si>
    <t xml:space="preserve">    均衡性转移支付支出</t>
  </si>
  <si>
    <t xml:space="preserve">    县级基本财力保障机制奖补资金支出</t>
  </si>
  <si>
    <t xml:space="preserve">    结算补助支出</t>
  </si>
  <si>
    <t xml:space="preserve">    产粮（油）大县奖励资金支出</t>
  </si>
  <si>
    <t xml:space="preserve">    重点生态功能区转移支付支出</t>
  </si>
  <si>
    <t xml:space="preserve">    固定数额补助支出</t>
  </si>
  <si>
    <t xml:space="preserve">    革命老区转移支付支出</t>
  </si>
  <si>
    <t xml:space="preserve">    巩固脱贫攻坚成果衔接乡村振兴转移支付支出</t>
  </si>
  <si>
    <t xml:space="preserve">    公共安全共同财政事权转移支付支出</t>
  </si>
  <si>
    <t xml:space="preserve">    教育共同财政事权转移支付支出</t>
  </si>
  <si>
    <t xml:space="preserve">    文化旅游体育与传媒共同财政事权转移支付支出</t>
  </si>
  <si>
    <t xml:space="preserve">    社会保障和就业共同财政事权转移支付支出</t>
  </si>
  <si>
    <t xml:space="preserve">    医疗卫生共同财政事权转移支付支出</t>
  </si>
  <si>
    <t xml:space="preserve">    节能环保共同财政事权转移支付支出</t>
  </si>
  <si>
    <t xml:space="preserve">    农林水共同财政事权转移支付支出</t>
  </si>
  <si>
    <t xml:space="preserve">    交通运输共同财政事权转移支付支出</t>
  </si>
  <si>
    <t xml:space="preserve">    住房保障共同财政事权转移支付支出</t>
  </si>
  <si>
    <t xml:space="preserve">    灾害防治及应急管理共同财政事权转移支付支出</t>
  </si>
  <si>
    <t xml:space="preserve">    其他一般性转移支付支出</t>
  </si>
  <si>
    <t>三、专项转移支付</t>
  </si>
  <si>
    <t>玉东</t>
  </si>
  <si>
    <t>福绵</t>
  </si>
  <si>
    <t>玉州</t>
  </si>
  <si>
    <t>兴业</t>
  </si>
  <si>
    <t>暂预留市直</t>
  </si>
  <si>
    <t>2025年政府一般债务限额及余额情况表</t>
  </si>
  <si>
    <t>单位：亿元</t>
  </si>
  <si>
    <t>地区</t>
  </si>
  <si>
    <t>2025年政府债务限额</t>
  </si>
  <si>
    <t>2025年政府债务余额</t>
  </si>
  <si>
    <t>一般债务</t>
  </si>
  <si>
    <t>全  市</t>
  </si>
  <si>
    <t>市  级</t>
  </si>
  <si>
    <t>玉州区</t>
  </si>
  <si>
    <t>福绵区</t>
  </si>
  <si>
    <t>容  县</t>
  </si>
  <si>
    <t>陆川县</t>
  </si>
  <si>
    <t>博白县</t>
  </si>
  <si>
    <t>兴业县</t>
  </si>
  <si>
    <t>北流市</t>
  </si>
  <si>
    <t>2025—2026年政府一般债券发行及还本付息情况表</t>
  </si>
  <si>
    <t>全市</t>
  </si>
  <si>
    <t>市级</t>
  </si>
  <si>
    <t>一、2025年发行预计执行数</t>
  </si>
  <si>
    <t xml:space="preserve">     其中：再融资债券</t>
  </si>
  <si>
    <t>二、2025年还本预计执行数</t>
  </si>
  <si>
    <t>三、2025年付息预计执行数</t>
  </si>
  <si>
    <t>四、2026年还本预算数</t>
  </si>
  <si>
    <t xml:space="preserve">           财政资金安排</t>
  </si>
  <si>
    <t>五、2026年付息预算数</t>
  </si>
  <si>
    <t>六、2026年发行预算数</t>
  </si>
  <si>
    <t>注：2025年一般债券还本执行数仅用于偿还到期债券本金，不含外贷、拖欠账款等偿还金额。</t>
  </si>
  <si>
    <t>玉林市政府性基金预算2026年收入预算(草案）</t>
  </si>
  <si>
    <t>项       目</t>
  </si>
  <si>
    <t>2025年</t>
  </si>
  <si>
    <t>年初预算数</t>
  </si>
  <si>
    <t>2024年决算</t>
  </si>
  <si>
    <t>比上年完成数增减</t>
  </si>
  <si>
    <t>一、农网还贷资金收入</t>
  </si>
  <si>
    <t>二、国家电影事业发展专项资金收入</t>
  </si>
  <si>
    <t>三、国有土地收益基金收入</t>
  </si>
  <si>
    <t>四、农业土地开发资金收入</t>
  </si>
  <si>
    <t>五、国有土地使用权出让收入</t>
  </si>
  <si>
    <t xml:space="preserve">        土地出让价款收入</t>
  </si>
  <si>
    <t xml:space="preserve">        补缴的土地价款</t>
  </si>
  <si>
    <t xml:space="preserve">        划拨土地收入</t>
  </si>
  <si>
    <t xml:space="preserve">        缴纳新增建设用地土地有偿使用费</t>
  </si>
  <si>
    <t xml:space="preserve">        其他土地出让收入</t>
  </si>
  <si>
    <t>六、大中型水库库区基金收入</t>
  </si>
  <si>
    <t>七、彩票公益金收入</t>
  </si>
  <si>
    <t xml:space="preserve">       福利彩票公益金收入</t>
  </si>
  <si>
    <t xml:space="preserve">       体育彩票公益金收入</t>
  </si>
  <si>
    <t>八、城市基础设施配套费收入</t>
  </si>
  <si>
    <t>九、小型水库移民扶助基金收入</t>
  </si>
  <si>
    <t>十、国家重大水利工程建设基金收入</t>
  </si>
  <si>
    <t>十一、车辆通行费</t>
  </si>
  <si>
    <t>十二、污水处理费收入</t>
  </si>
  <si>
    <t>十三、彩票发行机构和彩票销售机构的业务费用</t>
  </si>
  <si>
    <t>十四、其他政府性基金收入</t>
  </si>
  <si>
    <t>十五、专项债券对应项目专项收入</t>
  </si>
  <si>
    <t xml:space="preserve">       国有土地使用权出让金专项债务对应项目专项收入</t>
  </si>
  <si>
    <t xml:space="preserve">           土地储备专项债券对应项目专项收入</t>
  </si>
  <si>
    <t xml:space="preserve">           棚户区改造专项债券对应项目专项收入</t>
  </si>
  <si>
    <t xml:space="preserve">           其他国有土地使用权出让金专项债务对应项目专项收入</t>
  </si>
  <si>
    <t xml:space="preserve">       农业土地开发资金专项债务对应项目专项收入</t>
  </si>
  <si>
    <t xml:space="preserve">       大中型水库库区基金专项债务对应项目专项收入</t>
  </si>
  <si>
    <t xml:space="preserve">       城市基础设施配套费专项债务对应项目专项收入</t>
  </si>
  <si>
    <t xml:space="preserve">       小型水库移民扶助基金专项债务对应项目专项收入</t>
  </si>
  <si>
    <t xml:space="preserve">       污水处理费专项债务对应项目专项收入</t>
  </si>
  <si>
    <t xml:space="preserve">       其他政府性基金专项债务对应项目专项收入</t>
  </si>
  <si>
    <t xml:space="preserve">           其他地方自行试点项目收益专项债券对应项目专项收入</t>
  </si>
  <si>
    <t xml:space="preserve">           其他政府性基金专项债务对应项目专项收入</t>
  </si>
  <si>
    <t>政府性基金预算收入合计</t>
  </si>
  <si>
    <t xml:space="preserve">  政府性基金转移支付收入</t>
  </si>
  <si>
    <t xml:space="preserve">    其中：专项债务转贷收入</t>
  </si>
  <si>
    <t>收入总计</t>
  </si>
  <si>
    <t>附件2-3</t>
  </si>
  <si>
    <t>玉林市市级政府性基金预算2026年收入预算(草案）</t>
  </si>
  <si>
    <t>附件2-2</t>
  </si>
  <si>
    <t>玉林市政府性基金预算2026年支出预算(草案）</t>
  </si>
  <si>
    <t>2024年决算数（填到项级）</t>
  </si>
  <si>
    <t>一、教育支出</t>
  </si>
  <si>
    <t xml:space="preserve">    超长期特别国债安排的支出</t>
  </si>
  <si>
    <t xml:space="preserve">         基础教育</t>
  </si>
  <si>
    <t xml:space="preserve">         高等教育</t>
  </si>
  <si>
    <t xml:space="preserve">         职业教育</t>
  </si>
  <si>
    <t xml:space="preserve">         特殊教育</t>
  </si>
  <si>
    <t xml:space="preserve">         其他教育支出</t>
  </si>
  <si>
    <t>二、科学技术支出</t>
  </si>
  <si>
    <t xml:space="preserve">    核电站乏燃料处理处置基金支出</t>
  </si>
  <si>
    <t>三、文化旅游体育与传媒支出</t>
  </si>
  <si>
    <t xml:space="preserve">    国家电影事业发展专项资金安排的支出</t>
  </si>
  <si>
    <t xml:space="preserve">         资助国产影片放映</t>
  </si>
  <si>
    <t xml:space="preserve">         资助影院建设</t>
  </si>
  <si>
    <t xml:space="preserve">         资助少数民族语电影译制</t>
  </si>
  <si>
    <t xml:space="preserve">         购买农村电影公益性放映版权服务</t>
  </si>
  <si>
    <t xml:space="preserve">         其他国家电影事业发展专项资金支出</t>
  </si>
  <si>
    <t xml:space="preserve">    旅游发展基金支出</t>
  </si>
  <si>
    <t xml:space="preserve">         宣传促销</t>
  </si>
  <si>
    <t xml:space="preserve">         行业规划</t>
  </si>
  <si>
    <t xml:space="preserve">         旅游事业补助</t>
  </si>
  <si>
    <t xml:space="preserve">         地方旅游开发项目补助</t>
  </si>
  <si>
    <t xml:space="preserve">         其他旅游发展基金支出 </t>
  </si>
  <si>
    <t xml:space="preserve">    国家电影事业发展专项资金对应专项债务收入安排的支出</t>
  </si>
  <si>
    <t xml:space="preserve">      资助城市影院</t>
  </si>
  <si>
    <t xml:space="preserve">      其他国家电影事业发展专项资金对应专项债务收入支出</t>
  </si>
  <si>
    <t xml:space="preserve">         文化和旅游</t>
  </si>
  <si>
    <t xml:space="preserve">         文物</t>
  </si>
  <si>
    <t xml:space="preserve">         体育</t>
  </si>
  <si>
    <t xml:space="preserve">         新闻出版电影</t>
  </si>
  <si>
    <t xml:space="preserve">         广播电视</t>
  </si>
  <si>
    <t xml:space="preserve">         其他文化旅游体育与传媒支出 </t>
  </si>
  <si>
    <t>四、社会保障和就业支出</t>
  </si>
  <si>
    <t xml:space="preserve">         养老机构及服务设施</t>
  </si>
  <si>
    <t xml:space="preserve">         公共就业服务设施</t>
  </si>
  <si>
    <t xml:space="preserve">         其他社会保障和就业支出</t>
  </si>
  <si>
    <t>五、卫生健康支出</t>
  </si>
  <si>
    <t xml:space="preserve">         公立医院</t>
  </si>
  <si>
    <t xml:space="preserve">         基层医疗卫生机构</t>
  </si>
  <si>
    <t xml:space="preserve">         公共卫生机构</t>
  </si>
  <si>
    <t xml:space="preserve">         托育机构</t>
  </si>
  <si>
    <t xml:space="preserve">         其他卫生健康支出</t>
  </si>
  <si>
    <t>六、节能环保支出</t>
  </si>
  <si>
    <t xml:space="preserve">    可再生能源电价附加收入安排的支出</t>
  </si>
  <si>
    <t xml:space="preserve">         风力发电补助</t>
  </si>
  <si>
    <t xml:space="preserve">         太阳能发电补助</t>
  </si>
  <si>
    <t xml:space="preserve">         生物质能发电补助</t>
  </si>
  <si>
    <t xml:space="preserve">         其他可再生能源电价附加收入安排的支出</t>
  </si>
  <si>
    <t xml:space="preserve">         水污染综合治理</t>
  </si>
  <si>
    <t xml:space="preserve">         应对气候变化</t>
  </si>
  <si>
    <t xml:space="preserve">         “三北”工程建设</t>
  </si>
  <si>
    <t xml:space="preserve">         其他节能环保支出</t>
  </si>
  <si>
    <t>七、城乡社区支出</t>
  </si>
  <si>
    <t xml:space="preserve">    国有土地使用权出让收入安排的支出</t>
  </si>
  <si>
    <t xml:space="preserve">         征地和拆迁补偿支出</t>
  </si>
  <si>
    <t xml:space="preserve">         土地开发支出</t>
  </si>
  <si>
    <t xml:space="preserve">         城市建设支出</t>
  </si>
  <si>
    <t xml:space="preserve">         农村基础设施建设支出</t>
  </si>
  <si>
    <t xml:space="preserve">         补助被征地农民支出</t>
  </si>
  <si>
    <t xml:space="preserve">         土地出让业务支出</t>
  </si>
  <si>
    <t xml:space="preserve">         廉租住房支出</t>
  </si>
  <si>
    <t xml:space="preserve">         支付破产或改制企业职工安置费</t>
  </si>
  <si>
    <t xml:space="preserve">         棚户区改造支出</t>
  </si>
  <si>
    <t xml:space="preserve">         公共租赁住房支出</t>
  </si>
  <si>
    <t xml:space="preserve">         保障性住房租金补贴</t>
  </si>
  <si>
    <t xml:space="preserve">         农业生产发展支出</t>
  </si>
  <si>
    <t xml:space="preserve">         农村社会事业支出</t>
  </si>
  <si>
    <t xml:space="preserve">         农业农村生态环境支出</t>
  </si>
  <si>
    <t xml:space="preserve">         其他国有土地使用权出让收入安排的支出</t>
  </si>
  <si>
    <t xml:space="preserve">    国有土地收益基金安排的支出</t>
  </si>
  <si>
    <t xml:space="preserve">         其他国有土地收益基金支出</t>
  </si>
  <si>
    <t xml:space="preserve">    农业土地开发资金安排的支出</t>
  </si>
  <si>
    <t xml:space="preserve">    城市基础设施配套费安排的支出</t>
  </si>
  <si>
    <t xml:space="preserve">         城市公共设施</t>
  </si>
  <si>
    <t xml:space="preserve">         城市环境卫生</t>
  </si>
  <si>
    <t xml:space="preserve">         公有房屋</t>
  </si>
  <si>
    <t xml:space="preserve">         城市防洪</t>
  </si>
  <si>
    <t xml:space="preserve">         其他城市基础设施配套费安排的支出</t>
  </si>
  <si>
    <t xml:space="preserve">    污水处理费安排的支出</t>
  </si>
  <si>
    <t xml:space="preserve">         污水处理设施建设和运营</t>
  </si>
  <si>
    <t xml:space="preserve">         代征手续费</t>
  </si>
  <si>
    <t xml:space="preserve">         其他污水处理费安排的支出</t>
  </si>
  <si>
    <t xml:space="preserve">    土地储备专项债券收入安排的支出</t>
  </si>
  <si>
    <t xml:space="preserve">         其他土地储备专项债券收入安排的支出</t>
  </si>
  <si>
    <t xml:space="preserve">    棚户区改造专项债券收入安排的支出</t>
  </si>
  <si>
    <t xml:space="preserve">         其他棚户区改造专项债券收入安排的支出</t>
  </si>
  <si>
    <t xml:space="preserve">    城市基础设施配套费对应专项债务收入安排的支出</t>
  </si>
  <si>
    <t xml:space="preserve">         其他城市基础设施配套费对应专项债务收入安排的支出</t>
  </si>
  <si>
    <t xml:space="preserve">    污水处理费对应专项债务收入安排的支出</t>
  </si>
  <si>
    <t xml:space="preserve">         其他污水处理费对应专项债务收入安排的支出</t>
  </si>
  <si>
    <t xml:space="preserve">    国有土地使用权出让收入对应专项债务收入安排的支出</t>
  </si>
  <si>
    <t xml:space="preserve">         其他国有土地使用权出让收入对应专项债务收入安排的支出</t>
  </si>
  <si>
    <t xml:space="preserve">         城乡社区公共设施</t>
  </si>
  <si>
    <t xml:space="preserve">         其他城乡社区支出</t>
  </si>
  <si>
    <t>八、农林水支出</t>
  </si>
  <si>
    <t xml:space="preserve">    大中型水库库区基金安排的支出</t>
  </si>
  <si>
    <t xml:space="preserve">         基础设施建设和经济发展</t>
  </si>
  <si>
    <t xml:space="preserve">         解决移民遗留问题</t>
  </si>
  <si>
    <t xml:space="preserve">         库区防护工程维护</t>
  </si>
  <si>
    <t xml:space="preserve">         其他大中型水库库区基金支出</t>
  </si>
  <si>
    <t xml:space="preserve">    国家重大水利工程建设基金安排的支出</t>
  </si>
  <si>
    <t xml:space="preserve">         南水北调工程建设</t>
  </si>
  <si>
    <t xml:space="preserve">         地方重大水利工程建设</t>
  </si>
  <si>
    <t xml:space="preserve">         其他重大水利工程建设基金支出</t>
  </si>
  <si>
    <t xml:space="preserve">    大中型水库库区基金对应专项债务收入安排的支出</t>
  </si>
  <si>
    <t xml:space="preserve">    国家重大水利工程建设基金及对应专项债务收入安排的支出</t>
  </si>
  <si>
    <t xml:space="preserve">    大中型水库移民后期扶持基金支出</t>
  </si>
  <si>
    <t xml:space="preserve">         移民补助</t>
  </si>
  <si>
    <t xml:space="preserve">         其他大中型水库移民后期扶持基金支出</t>
  </si>
  <si>
    <t xml:space="preserve">    小型水库移民扶助基金安排的支出</t>
  </si>
  <si>
    <t xml:space="preserve">         其他小型水库移民扶助基金支出</t>
  </si>
  <si>
    <t xml:space="preserve">    小型水库移民扶助基金对应专项债务收入安排的支出</t>
  </si>
  <si>
    <t xml:space="preserve">         农业农村支出</t>
  </si>
  <si>
    <t xml:space="preserve">         水利支出</t>
  </si>
  <si>
    <t xml:space="preserve">         其他农林水支出</t>
  </si>
  <si>
    <t>九、交通运输支出</t>
  </si>
  <si>
    <t xml:space="preserve">    车辆通行费安排的支出</t>
  </si>
  <si>
    <t xml:space="preserve">         公路还贷</t>
  </si>
  <si>
    <t xml:space="preserve">         政府还贷公路养护</t>
  </si>
  <si>
    <t xml:space="preserve">         政府还贷公路管理</t>
  </si>
  <si>
    <t xml:space="preserve">         其他车辆通行费安排的支出</t>
  </si>
  <si>
    <t xml:space="preserve">    铁路建设基金支出</t>
  </si>
  <si>
    <t xml:space="preserve">         铁路建设投资</t>
  </si>
  <si>
    <t xml:space="preserve">         购置铁路机车车辆</t>
  </si>
  <si>
    <t xml:space="preserve">         铁路还贷</t>
  </si>
  <si>
    <t xml:space="preserve">         建设项目铺底资金</t>
  </si>
  <si>
    <t xml:space="preserve">         勘测设计</t>
  </si>
  <si>
    <t xml:space="preserve">         注册资本金</t>
  </si>
  <si>
    <t xml:space="preserve">         周转资金</t>
  </si>
  <si>
    <t xml:space="preserve">         其他铁路建设基金支出</t>
  </si>
  <si>
    <t xml:space="preserve">    船舶油污损害赔偿基金支出</t>
  </si>
  <si>
    <t xml:space="preserve">    民航发展基金支出</t>
  </si>
  <si>
    <t xml:space="preserve">         民航机场建设</t>
  </si>
  <si>
    <t xml:space="preserve">         空管系统建设</t>
  </si>
  <si>
    <t xml:space="preserve">         民航安全</t>
  </si>
  <si>
    <t xml:space="preserve">         航线和机场补贴</t>
  </si>
  <si>
    <t xml:space="preserve">         民航节能减排</t>
  </si>
  <si>
    <t xml:space="preserve">         通用航空发展</t>
  </si>
  <si>
    <t xml:space="preserve">         征管经费</t>
  </si>
  <si>
    <t xml:space="preserve">         民航科教和信息建设</t>
  </si>
  <si>
    <t xml:space="preserve">         其他民航发展基金支出</t>
  </si>
  <si>
    <t xml:space="preserve">    政府收费公路专项债券收入安排的支出</t>
  </si>
  <si>
    <t xml:space="preserve">         公路建设</t>
  </si>
  <si>
    <t xml:space="preserve">         其他政府收费公路专项债券收入安排的支出</t>
  </si>
  <si>
    <t xml:space="preserve">    车辆通行费对应专项债务收入安排的支出</t>
  </si>
  <si>
    <t>十、资源勘探工业信息等支出</t>
  </si>
  <si>
    <t xml:space="preserve">    农网还贷资金支出</t>
  </si>
  <si>
    <t xml:space="preserve">         地方农网还贷资金支出</t>
  </si>
  <si>
    <t xml:space="preserve">         其他农网还贷资金支出</t>
  </si>
  <si>
    <t>十一、金融支出</t>
  </si>
  <si>
    <t xml:space="preserve">         中央特别国债经营基金支出</t>
  </si>
  <si>
    <t xml:space="preserve">         中央特别国债经营基金财务支出</t>
  </si>
  <si>
    <t xml:space="preserve">         中央金融机构注资特别国债支出</t>
  </si>
  <si>
    <t>十二、自然资源海洋气象等支出</t>
  </si>
  <si>
    <t xml:space="preserve">    耕地保护考核奖惩基金支出</t>
  </si>
  <si>
    <t xml:space="preserve">         耕地保护</t>
  </si>
  <si>
    <t xml:space="preserve">         补充耕地</t>
  </si>
  <si>
    <t>十三、住房保障支出</t>
  </si>
  <si>
    <t xml:space="preserve">         保障性租赁住房</t>
  </si>
  <si>
    <t xml:space="preserve">         其他住房保障支出</t>
  </si>
  <si>
    <t>十四、粮油物资储备支出</t>
  </si>
  <si>
    <t xml:space="preserve">         设施建设</t>
  </si>
  <si>
    <t xml:space="preserve">         其他粮油物资储备支出</t>
  </si>
  <si>
    <t>十五、灾害防治及应急管理支出</t>
  </si>
  <si>
    <t xml:space="preserve">         自然灾害防治</t>
  </si>
  <si>
    <t xml:space="preserve">         自然灾害恢复重建支出</t>
  </si>
  <si>
    <t xml:space="preserve">         其他灾害防治及应急管理支出</t>
  </si>
  <si>
    <t>十六、其他支出</t>
  </si>
  <si>
    <t xml:space="preserve">    其他政府性基金及对应专项债务收入安排的支出</t>
  </si>
  <si>
    <t xml:space="preserve">         其他政府性基金安排的支出</t>
  </si>
  <si>
    <t xml:space="preserve">         其他地方自行试点项目收益专项债券收入安排的支出</t>
  </si>
  <si>
    <t xml:space="preserve">         其他政府性基金债务收入安排的支出</t>
  </si>
  <si>
    <t xml:space="preserve">    彩票发行销售机构业务费安排的支出</t>
  </si>
  <si>
    <t xml:space="preserve">         福利彩票发行机构的业务费支出</t>
  </si>
  <si>
    <t xml:space="preserve">         体育彩票发行机构的业务费支出</t>
  </si>
  <si>
    <t xml:space="preserve">         福利彩票销售机构的业务费支出</t>
  </si>
  <si>
    <t xml:space="preserve">         体育彩票销售机构的业务费支出</t>
  </si>
  <si>
    <t xml:space="preserve">         彩票兑奖周转金支出</t>
  </si>
  <si>
    <t xml:space="preserve">         彩票发行销售风险基金支出</t>
  </si>
  <si>
    <t xml:space="preserve">         彩票市场调控资金支出</t>
  </si>
  <si>
    <t xml:space="preserve">         其他彩票发行销售机构业务费安排的支出</t>
  </si>
  <si>
    <t xml:space="preserve">    抗疫特别国债财务基金支出</t>
  </si>
  <si>
    <t xml:space="preserve">         抗疫特别国债财务基金支出</t>
  </si>
  <si>
    <t xml:space="preserve">    超长期特别国债财务基金支出</t>
  </si>
  <si>
    <t xml:space="preserve">         超长期特别国债财务基金支出</t>
  </si>
  <si>
    <t xml:space="preserve">    彩票公益金安排的支出</t>
  </si>
  <si>
    <t xml:space="preserve">         用于社会福利的彩票公益金支出</t>
  </si>
  <si>
    <t xml:space="preserve">         用于体育事业的彩票公益金支出</t>
  </si>
  <si>
    <t xml:space="preserve">         用于教育事业的彩票公益金支出</t>
  </si>
  <si>
    <t xml:space="preserve">         用于红十字事业的彩票公益金支出</t>
  </si>
  <si>
    <t xml:space="preserve">         用于残疾人事业的彩票公益金支出</t>
  </si>
  <si>
    <t xml:space="preserve">         用于文化事业的彩票公益金支出</t>
  </si>
  <si>
    <t xml:space="preserve">         用于巩固脱贫攻坚成果衔接乡村振兴的彩票公益金支出</t>
  </si>
  <si>
    <t xml:space="preserve">         用于法律援助的彩票公益金支出</t>
  </si>
  <si>
    <t xml:space="preserve">         用于城乡医疗救助的彩票公益金支出</t>
  </si>
  <si>
    <t xml:space="preserve">         用于其他社会公益事业的彩票公益金支出</t>
  </si>
  <si>
    <t xml:space="preserve">    超长期特别国债安排的其他支出</t>
  </si>
  <si>
    <t xml:space="preserve">         其他支出</t>
  </si>
  <si>
    <t>十七、债务付息支出</t>
  </si>
  <si>
    <t xml:space="preserve">    地方政府专项债务付息支出</t>
  </si>
  <si>
    <t xml:space="preserve">         国家电影事业发展专项资金债务付息支出</t>
  </si>
  <si>
    <t xml:space="preserve">         国有土地使用权出让金债务付息支出</t>
  </si>
  <si>
    <t xml:space="preserve">         农业土地开发资金债务付息支出</t>
  </si>
  <si>
    <t xml:space="preserve">         大中型水库库区基金债务付息支出</t>
  </si>
  <si>
    <t xml:space="preserve">         城市基础设施配套费债务付息支出</t>
  </si>
  <si>
    <t xml:space="preserve">         小型水库移民扶助基金债务付息支出</t>
  </si>
  <si>
    <t xml:space="preserve">         国家重大水利工程建设基金债务付息支出</t>
  </si>
  <si>
    <t xml:space="preserve">         车辆通行费债务付息支出</t>
  </si>
  <si>
    <t xml:space="preserve">         污水处理费债务付息支出</t>
  </si>
  <si>
    <t xml:space="preserve">         土地储备专项债券付息支出</t>
  </si>
  <si>
    <t xml:space="preserve">         政府收费公路专项债券付息支出</t>
  </si>
  <si>
    <t xml:space="preserve">         棚户区改造专项债券付息支出</t>
  </si>
  <si>
    <t xml:space="preserve">         其他地方自行试点项目收益专项债券付息支出</t>
  </si>
  <si>
    <t xml:space="preserve">         其他政府性基金债务付息支出</t>
  </si>
  <si>
    <t>十八、债务发行费用支出</t>
  </si>
  <si>
    <t xml:space="preserve">    地方政府专项债务发行费用支出</t>
  </si>
  <si>
    <t xml:space="preserve">         国家电影事业发展专项资金债务发行费用支出</t>
  </si>
  <si>
    <t xml:space="preserve">         国有土地使用权出让金债务发行费用支出</t>
  </si>
  <si>
    <t xml:space="preserve">         农业土地开发资金债务发行费用支出</t>
  </si>
  <si>
    <t xml:space="preserve">         大中型水库库区基金债务发行费用支出</t>
  </si>
  <si>
    <t xml:space="preserve">         城市基础设施配套费债务发行费用支出</t>
  </si>
  <si>
    <t xml:space="preserve">         小型水库移民扶助基金债务发行费用支出</t>
  </si>
  <si>
    <t xml:space="preserve">         国家重大水利工程建设基金债务发行费用支出</t>
  </si>
  <si>
    <t xml:space="preserve">         车辆通行费债务发行费用支出</t>
  </si>
  <si>
    <t xml:space="preserve">         污水处理费债务发行费用支出</t>
  </si>
  <si>
    <t xml:space="preserve">         土地储备专项债券发行费用支出</t>
  </si>
  <si>
    <t xml:space="preserve">         政府收费公路专项债券发行费用支出</t>
  </si>
  <si>
    <t xml:space="preserve">         棚户区改造专项债券发行费用支出</t>
  </si>
  <si>
    <t xml:space="preserve">         其他地方自行试点项目收益专项债务发行费用支出</t>
  </si>
  <si>
    <t xml:space="preserve">         其他政府性基金债务发行费用支出</t>
  </si>
  <si>
    <t>政府性基金预算支出合计</t>
  </si>
  <si>
    <t>政府性基金转移支付</t>
  </si>
  <si>
    <t>上解支出</t>
  </si>
  <si>
    <t>调出资金</t>
  </si>
  <si>
    <t>债务转贷支出</t>
  </si>
  <si>
    <t>年终结余</t>
  </si>
  <si>
    <t>地方政府专项债务还本支出</t>
  </si>
  <si>
    <t>附件2-4</t>
  </si>
  <si>
    <t>玉林市市级政府性基金预算2026年支出预算(草案）</t>
  </si>
  <si>
    <t>2026年本级政府性基金支出表（按政府预算支出经济分类科目）</t>
  </si>
  <si>
    <t>单位： 万元</t>
  </si>
  <si>
    <t>科目编码（末级）</t>
  </si>
  <si>
    <t>备注</t>
  </si>
  <si>
    <t>小计</t>
  </si>
  <si>
    <t>其中：基本支出</t>
  </si>
  <si>
    <t>项目支出</t>
  </si>
  <si>
    <t>50301</t>
  </si>
  <si>
    <t>50305</t>
  </si>
  <si>
    <t>土地征迁补偿和安置支出</t>
  </si>
  <si>
    <t>50402</t>
  </si>
  <si>
    <t>本级政府性基金转移支付表</t>
  </si>
  <si>
    <t>2025年预算</t>
  </si>
  <si>
    <t>一、住房保障支出</t>
  </si>
  <si>
    <t>2025年玉林市政府专项债务限额及余额情况表</t>
  </si>
  <si>
    <t>2025—2026年政府专项债券发行及还本付息情况表</t>
  </si>
  <si>
    <t>注:1.2025年专项债券还本执行数仅用于偿还到期债券本金，不含外贷、拖欠账款等偿还金额。
   2.2025年再融资专项债券中包含用于置换存量政府债务的债券额度。</t>
  </si>
  <si>
    <t>附件3-1</t>
  </si>
  <si>
    <t>玉林市国有资本经营预算2026年收入预算(草案）</t>
  </si>
  <si>
    <t>科目</t>
  </si>
  <si>
    <t>项  目</t>
  </si>
  <si>
    <t>预算数</t>
  </si>
  <si>
    <t>2024年决算数</t>
  </si>
  <si>
    <t>一、利润收入</t>
  </si>
  <si>
    <t xml:space="preserve">     烟草企业利润收入</t>
  </si>
  <si>
    <t xml:space="preserve">     石油石化企业利润收入</t>
  </si>
  <si>
    <t xml:space="preserve">     电力企业利润收入</t>
  </si>
  <si>
    <t xml:space="preserve">     电信企业利润收入</t>
  </si>
  <si>
    <t xml:space="preserve">     煤炭企业利润收入</t>
  </si>
  <si>
    <t xml:space="preserve">     有色冶金采掘企业利润收入</t>
  </si>
  <si>
    <t xml:space="preserve">     钢铁企业利润收入</t>
  </si>
  <si>
    <t xml:space="preserve">     化工企业利润收入</t>
  </si>
  <si>
    <t xml:space="preserve">     运输企业利润收入</t>
  </si>
  <si>
    <t xml:space="preserve">     电子企业利润收入</t>
  </si>
  <si>
    <t xml:space="preserve">     机械企业利润收入</t>
  </si>
  <si>
    <t xml:space="preserve">     投资服务企业利润收入</t>
  </si>
  <si>
    <t xml:space="preserve">     纺织轻工企业利润收入</t>
  </si>
  <si>
    <t xml:space="preserve">     贸易企业利润收入</t>
  </si>
  <si>
    <t xml:space="preserve">     建筑施工企业利润收入</t>
  </si>
  <si>
    <t xml:space="preserve">     房地产企业利润收入</t>
  </si>
  <si>
    <t xml:space="preserve">     建材企业利润收入</t>
  </si>
  <si>
    <t xml:space="preserve">     境外企业利润收入</t>
  </si>
  <si>
    <t xml:space="preserve">     对外合作企业利润收入</t>
  </si>
  <si>
    <t xml:space="preserve">     医药企业利润收入</t>
  </si>
  <si>
    <t xml:space="preserve">     农林牧渔企业利润收入</t>
  </si>
  <si>
    <t xml:space="preserve">     邮政企业利润收入</t>
  </si>
  <si>
    <t xml:space="preserve">     军工企业利润收入</t>
  </si>
  <si>
    <t xml:space="preserve">     转制科研院所利润收入</t>
  </si>
  <si>
    <t xml:space="preserve">     地质勘查企业利润收入</t>
  </si>
  <si>
    <t xml:space="preserve">     卫生体育福利企业利润收入</t>
  </si>
  <si>
    <t xml:space="preserve">     教育文化广播企业利润收入</t>
  </si>
  <si>
    <t xml:space="preserve">     科学研究企业利润收入</t>
  </si>
  <si>
    <t xml:space="preserve">     机关社团所属企业利润收入</t>
  </si>
  <si>
    <t xml:space="preserve">     金融企业利润收入（国资预算）</t>
  </si>
  <si>
    <t xml:space="preserve">     其他国有资本经营预算企业利润收入</t>
  </si>
  <si>
    <t>二、股息红利收入</t>
  </si>
  <si>
    <t xml:space="preserve">     国有控股公司股利、股息收入</t>
  </si>
  <si>
    <t xml:space="preserve">     国有参股公司股利、股息收入</t>
  </si>
  <si>
    <t xml:space="preserve">     金融企业股利、股息收入（国资预算）</t>
  </si>
  <si>
    <t xml:space="preserve">     其他国有资本经营预算企业股利、股息收入</t>
  </si>
  <si>
    <t>三、产权转让收入</t>
  </si>
  <si>
    <t xml:space="preserve">     国有股减持收入</t>
  </si>
  <si>
    <t xml:space="preserve">     国有股权、股份转让收入</t>
  </si>
  <si>
    <t xml:space="preserve">     国有独资企业产权转让收入</t>
  </si>
  <si>
    <t xml:space="preserve">     金融企业产权转让收入</t>
  </si>
  <si>
    <t xml:space="preserve">     其他国有资本经营预算企业产权转让收入</t>
  </si>
  <si>
    <t>四、清算收入</t>
  </si>
  <si>
    <t xml:space="preserve">     国有股权、股份清算收入</t>
  </si>
  <si>
    <t xml:space="preserve">     国有独资企业清算收入</t>
  </si>
  <si>
    <t xml:space="preserve">     其他国有资本经营预算企业清算收入</t>
  </si>
  <si>
    <t>五、其他国有资本经营收入</t>
  </si>
  <si>
    <t>国有资本经营预算收入合计</t>
  </si>
  <si>
    <t xml:space="preserve">   上级补助收入</t>
  </si>
  <si>
    <t xml:space="preserve">   上年结余收入</t>
  </si>
  <si>
    <t>附件3-3</t>
  </si>
  <si>
    <t>玉林市市级国有资本经营预算2026年收入预算(草案）</t>
  </si>
  <si>
    <t>附件3-2</t>
  </si>
  <si>
    <t xml:space="preserve">     玉林市国有资本经营预算2026年支出预算(草案）</t>
  </si>
  <si>
    <t> 单位：万元</t>
  </si>
  <si>
    <t>社会保障和就业支出</t>
  </si>
  <si>
    <t>国有资本经营预算支出</t>
  </si>
  <si>
    <t xml:space="preserve">  解决历史遗留问题及改革成本支出</t>
  </si>
  <si>
    <t xml:space="preserve">    厂办大集体改革支出</t>
  </si>
  <si>
    <t xml:space="preserve">    “三供一业”移交补助支出</t>
  </si>
  <si>
    <t xml:space="preserve">    国有企业办职教幼教补助支出</t>
  </si>
  <si>
    <t xml:space="preserve">    国有企业办公共服务机构移交补助支出</t>
  </si>
  <si>
    <t xml:space="preserve">    国有企业退休人员社会化管理补助支出</t>
  </si>
  <si>
    <t xml:space="preserve">    国有企业棚户区改造支出</t>
  </si>
  <si>
    <t xml:space="preserve">    国有企业改革成本支出</t>
  </si>
  <si>
    <t xml:space="preserve">    离休干部医药费补助支出</t>
  </si>
  <si>
    <t xml:space="preserve">    其他解决历史遗留问题及改革成本支出</t>
  </si>
  <si>
    <t xml:space="preserve">  国有企业资本金注入</t>
  </si>
  <si>
    <t xml:space="preserve">    国有经济结构调整支出</t>
  </si>
  <si>
    <t xml:space="preserve">    公益性设施投资支出</t>
  </si>
  <si>
    <t xml:space="preserve">    前瞻性战略性产业发展支出</t>
  </si>
  <si>
    <t xml:space="preserve">    生态环境保护支出</t>
  </si>
  <si>
    <t xml:space="preserve">    支持科技进步支出</t>
  </si>
  <si>
    <t xml:space="preserve">    保障国家经济安全支出</t>
  </si>
  <si>
    <t xml:space="preserve">    对外投资合作支出</t>
  </si>
  <si>
    <t xml:space="preserve">    其他国有企业资本金注入</t>
  </si>
  <si>
    <t xml:space="preserve">  国有企业政策性补贴</t>
  </si>
  <si>
    <t xml:space="preserve">  金融国有资本经营预算支出</t>
  </si>
  <si>
    <t xml:space="preserve">    资本性支出</t>
  </si>
  <si>
    <t xml:space="preserve">    改革性支出</t>
  </si>
  <si>
    <t xml:space="preserve">    其他金融国有资本经营预算支出</t>
  </si>
  <si>
    <t xml:space="preserve">  其他国有资本经营预算支出</t>
  </si>
  <si>
    <t>国有资本经营预算支出合计</t>
  </si>
  <si>
    <t>转移性支出</t>
  </si>
  <si>
    <t xml:space="preserve">  补助下级支出</t>
  </si>
  <si>
    <t>附件3-4</t>
  </si>
  <si>
    <t xml:space="preserve">     玉林市市级国有资本经营预算2026年支出预算(草案）</t>
  </si>
  <si>
    <t>国有资本经营预算转移支付表</t>
  </si>
  <si>
    <t>内 容</t>
  </si>
  <si>
    <t>玉东新区</t>
  </si>
  <si>
    <t>容县</t>
  </si>
  <si>
    <t>2025年国有企业退休人员社会化管理中央财政补助资金</t>
  </si>
  <si>
    <t>-</t>
  </si>
  <si>
    <t>表八</t>
  </si>
  <si>
    <t>2026年市本级支出情况统计表（按政府预算支出经济分类科目）</t>
  </si>
  <si>
    <t>1=2+3</t>
  </si>
  <si>
    <t>2=表一C</t>
  </si>
  <si>
    <t>3=表一D+表三1列+表五1列</t>
  </si>
  <si>
    <t>2026年国有企业退休人员社会化管理中央财政补助资金</t>
  </si>
  <si>
    <t>玉林市社会保险基金预算2026年收入预算（草案）</t>
  </si>
  <si>
    <t>完成预算%</t>
  </si>
  <si>
    <t>一、全市社会保险基金收入合计</t>
  </si>
  <si>
    <t>（一）职工基本医疗保险基金收入</t>
  </si>
  <si>
    <t>（二）城乡居民基本养老保险基金收入</t>
  </si>
  <si>
    <t>（三）机关事业单位基本养老保险基金收入</t>
  </si>
  <si>
    <t>（四）城乡居民基本医疗保险基金收入</t>
  </si>
  <si>
    <t>（五）其他社会保险基金收入</t>
  </si>
  <si>
    <t>（五）其他社会保险基金本年收支结余</t>
  </si>
  <si>
    <t>玉林市市级社会保险基金预算2026年收入预算（草案）</t>
  </si>
  <si>
    <t>一、市本级社会保险基金收入合计</t>
  </si>
  <si>
    <t>（一）职工基本医疗保险基金收入（含生育保险）</t>
  </si>
  <si>
    <t xml:space="preserve">     其中：保险费收入</t>
  </si>
  <si>
    <t xml:space="preserve">          财政补贴收入</t>
  </si>
  <si>
    <t xml:space="preserve">       利息收入</t>
  </si>
  <si>
    <t xml:space="preserve">       转移收入</t>
  </si>
  <si>
    <t xml:space="preserve">      其中：保险费收入</t>
  </si>
  <si>
    <t xml:space="preserve">           利息收入</t>
  </si>
  <si>
    <t xml:space="preserve">           财政补贴收入</t>
  </si>
  <si>
    <t xml:space="preserve">           其他收入</t>
  </si>
  <si>
    <t xml:space="preserve">         转移收入</t>
  </si>
  <si>
    <t xml:space="preserve">         投资收益</t>
  </si>
  <si>
    <t xml:space="preserve">         财政补贴收入</t>
  </si>
  <si>
    <t xml:space="preserve">       财政补贴收入</t>
  </si>
  <si>
    <t xml:space="preserve">          其他收入</t>
  </si>
  <si>
    <t xml:space="preserve">                                                                                                                                             </t>
  </si>
  <si>
    <t>玉林市社会保险基金预算2026年支出预算（草案）</t>
  </si>
  <si>
    <t>一、全市社会保险基金支出合计</t>
  </si>
  <si>
    <t>（一）职工基本医疗保险基金支出</t>
  </si>
  <si>
    <t>（二）城乡居民基本养老保险基金支出</t>
  </si>
  <si>
    <t>（三）机关事业单位基本养老保险基金支出</t>
  </si>
  <si>
    <t>（四）城乡居民基本医疗保险基金支出</t>
  </si>
  <si>
    <t>（五）其他社会保险基金支出</t>
  </si>
  <si>
    <t>二、全市社会保险基金本年收支结余合计</t>
  </si>
  <si>
    <t>全市社会保险基金年末滚存结余合计</t>
  </si>
  <si>
    <t>（一）职工基本医疗保险基金本年收支结余</t>
  </si>
  <si>
    <t xml:space="preserve">  职工基本医疗保险基金年末滚存结余</t>
  </si>
  <si>
    <t>（二）城乡居民基本养老保险基金本年收支结余</t>
  </si>
  <si>
    <t xml:space="preserve">     城乡居民基本养老保险基金年末滚存结余</t>
  </si>
  <si>
    <t>（三）机关事业单位基本养老保险基金本年收支结余</t>
  </si>
  <si>
    <t xml:space="preserve">     机关事业单位基本养老保险基金年末滚存结余</t>
  </si>
  <si>
    <t>（四）城乡居民基本医疗保险基金本年收支结余</t>
  </si>
  <si>
    <t xml:space="preserve">      城乡居民基本医疗保险基金年末滚存结余</t>
  </si>
  <si>
    <t>玉林市市级社会保险基金预算2026年支出预算（草案）</t>
  </si>
  <si>
    <t>一、市本级社会保险基金支出合计</t>
  </si>
  <si>
    <t>（一）职工基本医疗保险基金支出（含生育保险）</t>
  </si>
  <si>
    <t xml:space="preserve">     其中：基本医疗保险待遇支出</t>
  </si>
  <si>
    <t xml:space="preserve">       转移支出</t>
  </si>
  <si>
    <t xml:space="preserve">       其他支出</t>
  </si>
  <si>
    <t xml:space="preserve">     其中：基础养老金支出</t>
  </si>
  <si>
    <t xml:space="preserve">           个人账户养老金支出</t>
  </si>
  <si>
    <t xml:space="preserve">           丧葬补助金支出</t>
  </si>
  <si>
    <t xml:space="preserve">           转移支出</t>
  </si>
  <si>
    <t xml:space="preserve">           其他支出</t>
  </si>
  <si>
    <t xml:space="preserve">     其中：基本养老保险支出</t>
  </si>
  <si>
    <t>其中：基本医疗保险待遇支出</t>
  </si>
  <si>
    <t>大病保险支出</t>
  </si>
  <si>
    <t>二、市本级社会保险基金本年收支结余合计</t>
  </si>
  <si>
    <t>市本级社会保险基金年末滚存结余合计</t>
  </si>
  <si>
    <t xml:space="preserve">     其他社会保险基金年末滚存结余</t>
  </si>
</sst>
</file>

<file path=xl/styles.xml><?xml version="1.0" encoding="utf-8"?>
<styleSheet xmlns="http://schemas.openxmlformats.org/spreadsheetml/2006/main">
  <numFmts count="18">
    <numFmt numFmtId="176" formatCode=";;"/>
    <numFmt numFmtId="41" formatCode="_ * #,##0_ ;_ * \-#,##0_ ;_ * &quot;-&quot;_ ;_ @_ "/>
    <numFmt numFmtId="177" formatCode="#,##0_);[Red]\(#,##0\)"/>
    <numFmt numFmtId="42" formatCode="_ &quot;￥&quot;* #,##0_ ;_ &quot;￥&quot;* \-#,##0_ ;_ &quot;￥&quot;* &quot;-&quot;_ ;_ @_ "/>
    <numFmt numFmtId="178" formatCode="#,##0.00_ "/>
    <numFmt numFmtId="179" formatCode="#,##0_ "/>
    <numFmt numFmtId="44" formatCode="_ &quot;￥&quot;* #,##0.00_ ;_ &quot;￥&quot;* \-#,##0.00_ ;_ &quot;￥&quot;* &quot;-&quot;??_ ;_ @_ "/>
    <numFmt numFmtId="180" formatCode="0.0%"/>
    <numFmt numFmtId="181" formatCode="0.00_ "/>
    <numFmt numFmtId="182" formatCode="0.00_);[Red]\(0.00\)"/>
    <numFmt numFmtId="183" formatCode="0_ "/>
    <numFmt numFmtId="184" formatCode="_ * #,##0.00_ ;_ * \-#,##0.00_ ;_ * &quot;-&quot;??.00_ ;_ @_ "/>
    <numFmt numFmtId="185" formatCode="_-* #,##0_-;\-* #,##0_-;_-* &quot;-&quot;_-;_-@_-"/>
    <numFmt numFmtId="186" formatCode="#,##0.0_);[Red]\(#,##0.0\)"/>
    <numFmt numFmtId="43" formatCode="_ * #,##0.00_ ;_ * \-#,##0.00_ ;_ * &quot;-&quot;??_ ;_ @_ "/>
    <numFmt numFmtId="187" formatCode="#,##0.00;[Red]#,##0.0"/>
    <numFmt numFmtId="188" formatCode="#,##0.0_ "/>
    <numFmt numFmtId="189" formatCode="0.0_ "/>
  </numFmts>
  <fonts count="72">
    <font>
      <sz val="12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Arial"/>
      <charset val="134"/>
    </font>
    <font>
      <sz val="16"/>
      <name val="黑体"/>
      <charset val="134"/>
    </font>
    <font>
      <b/>
      <sz val="22"/>
      <name val="方正小标宋简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20"/>
      <name val="方正小标宋简体"/>
      <charset val="134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color indexed="8"/>
      <name val="宋体"/>
      <charset val="0"/>
    </font>
    <font>
      <b/>
      <sz val="22"/>
      <color indexed="8"/>
      <name val="宋体"/>
      <charset val="0"/>
    </font>
    <font>
      <sz val="10"/>
      <color indexed="8"/>
      <name val="宋体"/>
      <charset val="0"/>
    </font>
    <font>
      <sz val="11"/>
      <color indexed="8"/>
      <name val="Calibri"/>
      <charset val="0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22"/>
      <name val="方正小标宋简体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6"/>
      <color indexed="8"/>
      <name val="黑体"/>
      <charset val="134"/>
    </font>
    <font>
      <sz val="22"/>
      <color indexed="8"/>
      <name val="方正小标宋简体"/>
      <charset val="134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6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0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1"/>
      <color rgb="FFFF0000"/>
      <name val="Calibri"/>
      <charset val="0"/>
    </font>
    <font>
      <b/>
      <sz val="14"/>
      <color indexed="8"/>
      <name val="宋体"/>
      <charset val="0"/>
    </font>
    <font>
      <sz val="16"/>
      <name val="方正小标宋简体"/>
      <charset val="134"/>
    </font>
    <font>
      <sz val="21.1"/>
      <color rgb="FF000000"/>
      <name val="方正小标宋简体"/>
      <charset val="134"/>
    </font>
    <font>
      <sz val="14.05"/>
      <color rgb="FF000000"/>
      <name val="黑体"/>
      <charset val="134"/>
    </font>
    <font>
      <sz val="12.3"/>
      <color rgb="FF000000"/>
      <name val="仿宋_GB2312"/>
      <charset val="134"/>
    </font>
    <font>
      <sz val="12.3"/>
      <name val="仿宋_GB2312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Times New Roman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0" borderId="0"/>
    <xf numFmtId="0" fontId="6" fillId="0" borderId="0">
      <alignment vertical="center"/>
    </xf>
    <xf numFmtId="0" fontId="6" fillId="0" borderId="0"/>
    <xf numFmtId="0" fontId="62" fillId="0" borderId="0"/>
    <xf numFmtId="0" fontId="3" fillId="0" borderId="0"/>
    <xf numFmtId="0" fontId="7" fillId="0" borderId="0">
      <alignment vertical="center"/>
    </xf>
    <xf numFmtId="0" fontId="6" fillId="0" borderId="0"/>
    <xf numFmtId="0" fontId="51" fillId="21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6" fillId="10" borderId="22" applyNumberFormat="0" applyAlignment="0" applyProtection="0">
      <alignment vertical="center"/>
    </xf>
    <xf numFmtId="0" fontId="60" fillId="19" borderId="24" applyNumberFormat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8" fillId="0" borderId="23" applyNumberFormat="0" applyFill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7" fillId="0" borderId="27" applyNumberFormat="0" applyFill="0" applyAlignment="0" applyProtection="0">
      <alignment vertical="center"/>
    </xf>
    <xf numFmtId="0" fontId="68" fillId="0" borderId="28" applyNumberFormat="0" applyFill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51" fillId="3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6" fillId="0" borderId="0"/>
    <xf numFmtId="0" fontId="66" fillId="0" borderId="26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2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/>
    <xf numFmtId="0" fontId="6" fillId="0" borderId="0"/>
    <xf numFmtId="42" fontId="1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52" fillId="14" borderId="0" applyNumberFormat="0" applyBorder="0" applyAlignment="0" applyProtection="0">
      <alignment vertical="center"/>
    </xf>
    <xf numFmtId="0" fontId="14" fillId="26" borderId="25" applyNumberFormat="0" applyFon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4" fillId="11" borderId="0" applyNumberFormat="0" applyBorder="0" applyAlignment="0" applyProtection="0">
      <alignment vertical="center"/>
    </xf>
    <xf numFmtId="0" fontId="53" fillId="10" borderId="21" applyNumberFormat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51" fillId="7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51" fillId="5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0" fillId="3" borderId="21" applyNumberFormat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</cellStyleXfs>
  <cellXfs count="435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179" fontId="3" fillId="0" borderId="0" xfId="0" applyNumberFormat="1" applyFont="1" applyFill="1" applyBorder="1" applyAlignment="1" applyProtection="1">
      <alignment vertical="center"/>
      <protection locked="0"/>
    </xf>
    <xf numFmtId="177" fontId="3" fillId="0" borderId="0" xfId="0" applyNumberFormat="1" applyFont="1" applyFill="1" applyBorder="1" applyAlignment="1" applyProtection="1">
      <alignment vertical="center"/>
      <protection locked="0"/>
    </xf>
    <xf numFmtId="180" fontId="3" fillId="0" borderId="0" xfId="0" applyNumberFormat="1" applyFont="1" applyFill="1" applyBorder="1" applyAlignment="1" applyProtection="1">
      <alignment vertical="center"/>
      <protection locked="0"/>
    </xf>
    <xf numFmtId="10" fontId="3" fillId="0" borderId="0" xfId="0" applyNumberFormat="1" applyFont="1" applyFill="1" applyBorder="1" applyAlignment="1" applyProtection="1">
      <alignment vertical="center"/>
      <protection locked="0"/>
    </xf>
    <xf numFmtId="183" fontId="3" fillId="0" borderId="0" xfId="0" applyNumberFormat="1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179" fontId="5" fillId="0" borderId="0" xfId="0" applyNumberFormat="1" applyFont="1" applyFill="1" applyBorder="1" applyAlignment="1" applyProtection="1">
      <alignment horizontal="center" vertical="center"/>
      <protection locked="0"/>
    </xf>
    <xf numFmtId="180" fontId="5" fillId="0" borderId="0" xfId="0" applyNumberFormat="1" applyFont="1" applyFill="1" applyBorder="1" applyAlignment="1" applyProtection="1">
      <alignment horizontal="center" vertical="center"/>
      <protection locked="0"/>
    </xf>
    <xf numFmtId="179" fontId="1" fillId="0" borderId="0" xfId="0" applyNumberFormat="1" applyFont="1" applyFill="1" applyBorder="1" applyAlignment="1" applyProtection="1">
      <alignment vertical="center"/>
      <protection locked="0"/>
    </xf>
    <xf numFmtId="177" fontId="1" fillId="0" borderId="0" xfId="0" applyNumberFormat="1" applyFont="1" applyFill="1" applyBorder="1" applyAlignment="1" applyProtection="1">
      <alignment vertical="center"/>
      <protection locked="0"/>
    </xf>
    <xf numFmtId="180" fontId="1" fillId="0" borderId="0" xfId="0" applyNumberFormat="1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79" fontId="2" fillId="0" borderId="1" xfId="0" applyNumberFormat="1" applyFont="1" applyFill="1" applyBorder="1" applyAlignment="1" applyProtection="1">
      <alignment horizontal="center" vertical="center"/>
      <protection locked="0"/>
    </xf>
    <xf numFmtId="180" fontId="2" fillId="0" borderId="1" xfId="0" applyNumberFormat="1" applyFont="1" applyFill="1" applyBorder="1" applyAlignment="1" applyProtection="1">
      <alignment horizontal="center" vertical="center"/>
      <protection locked="0"/>
    </xf>
    <xf numFmtId="177" fontId="2" fillId="0" borderId="1" xfId="0" applyNumberFormat="1" applyFont="1" applyFill="1" applyBorder="1" applyAlignment="1" applyProtection="1">
      <alignment horizontal="center" vertical="center"/>
      <protection locked="0"/>
    </xf>
    <xf numFmtId="180" fontId="2" fillId="0" borderId="2" xfId="0" applyNumberFormat="1" applyFont="1" applyFill="1" applyBorder="1" applyAlignment="1" applyProtection="1">
      <alignment horizontal="center" vertical="center"/>
      <protection locked="0"/>
    </xf>
    <xf numFmtId="180" fontId="2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1" xfId="1" applyFont="1" applyFill="1" applyBorder="1" applyAlignment="1" applyProtection="1">
      <alignment horizontal="justify" vertical="center" wrapText="1"/>
      <protection locked="0"/>
    </xf>
    <xf numFmtId="179" fontId="6" fillId="0" borderId="1" xfId="0" applyNumberFormat="1" applyFont="1" applyFill="1" applyBorder="1" applyAlignment="1" applyProtection="1">
      <alignment horizontal="right" vertical="center"/>
    </xf>
    <xf numFmtId="177" fontId="6" fillId="0" borderId="1" xfId="0" applyNumberFormat="1" applyFont="1" applyFill="1" applyBorder="1" applyAlignment="1" applyProtection="1">
      <alignment horizontal="right" vertical="center"/>
    </xf>
    <xf numFmtId="180" fontId="6" fillId="0" borderId="1" xfId="0" applyNumberFormat="1" applyFont="1" applyFill="1" applyBorder="1" applyAlignment="1" applyProtection="1">
      <alignment horizontal="right" vertical="center"/>
    </xf>
    <xf numFmtId="0" fontId="7" fillId="0" borderId="1" xfId="1" applyFont="1" applyFill="1" applyBorder="1" applyAlignment="1" applyProtection="1">
      <alignment horizontal="justify" vertical="center" wrapText="1"/>
      <protection locked="0"/>
    </xf>
    <xf numFmtId="0" fontId="7" fillId="0" borderId="1" xfId="1" applyFont="1" applyFill="1" applyBorder="1" applyAlignment="1" applyProtection="1">
      <alignment horizontal="left" vertical="center" wrapText="1" indent="1"/>
      <protection locked="0"/>
    </xf>
    <xf numFmtId="0" fontId="8" fillId="0" borderId="1" xfId="1" applyFont="1" applyFill="1" applyBorder="1" applyAlignment="1" applyProtection="1">
      <alignment horizontal="justify" vertical="center" wrapText="1"/>
      <protection locked="0"/>
    </xf>
    <xf numFmtId="179" fontId="6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177" fontId="6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177" fontId="9" fillId="0" borderId="1" xfId="4" applyNumberFormat="1" applyFont="1" applyFill="1" applyBorder="1" applyAlignment="1">
      <alignment horizontal="right" vertical="center"/>
    </xf>
    <xf numFmtId="179" fontId="6" fillId="0" borderId="1" xfId="4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55" applyFont="1" applyFill="1" applyBorder="1" applyAlignment="1" applyProtection="1">
      <alignment horizontal="justify" vertical="center" wrapText="1"/>
      <protection locked="0"/>
    </xf>
    <xf numFmtId="0" fontId="1" fillId="0" borderId="1" xfId="1" applyFont="1" applyFill="1" applyBorder="1" applyAlignment="1" applyProtection="1">
      <alignment horizontal="left" vertical="center" wrapText="1" indent="1"/>
      <protection locked="0"/>
    </xf>
    <xf numFmtId="179" fontId="1" fillId="0" borderId="1" xfId="0" applyNumberFormat="1" applyFont="1" applyFill="1" applyBorder="1" applyAlignment="1" applyProtection="1">
      <alignment vertical="center" wrapText="1"/>
    </xf>
    <xf numFmtId="179" fontId="10" fillId="0" borderId="1" xfId="0" applyNumberFormat="1" applyFont="1" applyFill="1" applyBorder="1" applyAlignment="1" applyProtection="1">
      <alignment vertical="center"/>
      <protection locked="0"/>
    </xf>
    <xf numFmtId="177" fontId="10" fillId="0" borderId="1" xfId="0" applyNumberFormat="1" applyFont="1" applyFill="1" applyBorder="1" applyAlignment="1" applyProtection="1">
      <alignment vertical="center"/>
      <protection locked="0"/>
    </xf>
    <xf numFmtId="10" fontId="1" fillId="0" borderId="0" xfId="0" applyNumberFormat="1" applyFont="1" applyFill="1" applyBorder="1" applyAlignment="1" applyProtection="1">
      <alignment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10" fontId="6" fillId="0" borderId="1" xfId="0" applyNumberFormat="1" applyFont="1" applyFill="1" applyBorder="1" applyAlignment="1" applyProtection="1">
      <alignment horizontal="right" vertical="center"/>
    </xf>
    <xf numFmtId="177" fontId="9" fillId="0" borderId="4" xfId="4" applyNumberFormat="1" applyFont="1" applyFill="1" applyBorder="1" applyAlignment="1">
      <alignment horizontal="right" vertical="center"/>
    </xf>
    <xf numFmtId="10" fontId="11" fillId="0" borderId="1" xfId="0" applyNumberFormat="1" applyFont="1" applyFill="1" applyBorder="1" applyAlignment="1" applyProtection="1">
      <alignment horizontal="right" vertical="center"/>
    </xf>
    <xf numFmtId="179" fontId="1" fillId="0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 applyProtection="1">
      <alignment horizontal="center" vertical="center"/>
      <protection locked="0"/>
    </xf>
    <xf numFmtId="183" fontId="1" fillId="0" borderId="0" xfId="0" applyNumberFormat="1" applyFont="1" applyFill="1" applyBorder="1" applyAlignment="1" applyProtection="1">
      <alignment vertical="center"/>
      <protection locked="0"/>
    </xf>
    <xf numFmtId="183" fontId="1" fillId="0" borderId="6" xfId="0" applyNumberFormat="1" applyFont="1" applyFill="1" applyBorder="1" applyAlignment="1" applyProtection="1">
      <alignment horizontal="center" vertical="center"/>
      <protection locked="0"/>
    </xf>
    <xf numFmtId="10" fontId="2" fillId="0" borderId="1" xfId="0" applyNumberFormat="1" applyFont="1" applyFill="1" applyBorder="1" applyAlignment="1" applyProtection="1">
      <alignment horizontal="center" vertical="center"/>
      <protection locked="0"/>
    </xf>
    <xf numFmtId="179" fontId="2" fillId="0" borderId="0" xfId="40" applyNumberFormat="1" applyFont="1" applyFill="1" applyBorder="1" applyAlignment="1">
      <alignment vertical="center"/>
    </xf>
    <xf numFmtId="183" fontId="6" fillId="0" borderId="0" xfId="0" applyNumberFormat="1" applyFont="1" applyFill="1" applyBorder="1" applyAlignment="1">
      <alignment vertical="center"/>
    </xf>
    <xf numFmtId="179" fontId="2" fillId="0" borderId="0" xfId="0" applyNumberFormat="1" applyFont="1" applyFill="1" applyBorder="1" applyAlignment="1" applyProtection="1">
      <alignment horizontal="right" vertical="center"/>
    </xf>
    <xf numFmtId="179" fontId="6" fillId="0" borderId="0" xfId="0" applyNumberFormat="1" applyFont="1" applyFill="1" applyBorder="1" applyAlignment="1">
      <alignment vertical="center"/>
    </xf>
    <xf numFmtId="10" fontId="6" fillId="0" borderId="0" xfId="0" applyNumberFormat="1" applyFont="1" applyFill="1" applyBorder="1" applyAlignment="1">
      <alignment vertical="center"/>
    </xf>
    <xf numFmtId="179" fontId="2" fillId="0" borderId="7" xfId="0" applyNumberFormat="1" applyFont="1" applyFill="1" applyBorder="1" applyAlignment="1" applyProtection="1">
      <alignment horizontal="center" vertical="center"/>
      <protection locked="0"/>
    </xf>
    <xf numFmtId="179" fontId="2" fillId="0" borderId="8" xfId="0" applyNumberFormat="1" applyFont="1" applyFill="1" applyBorder="1" applyAlignment="1" applyProtection="1">
      <alignment horizontal="center" vertical="center"/>
      <protection locked="0"/>
    </xf>
    <xf numFmtId="180" fontId="2" fillId="0" borderId="8" xfId="0" applyNumberFormat="1" applyFont="1" applyFill="1" applyBorder="1" applyAlignment="1" applyProtection="1">
      <alignment horizontal="center" vertical="center"/>
      <protection locked="0"/>
    </xf>
    <xf numFmtId="179" fontId="2" fillId="0" borderId="2" xfId="0" applyNumberFormat="1" applyFont="1" applyFill="1" applyBorder="1" applyAlignment="1" applyProtection="1">
      <alignment horizontal="center" vertical="center"/>
      <protection locked="0"/>
    </xf>
    <xf numFmtId="179" fontId="2" fillId="0" borderId="3" xfId="0" applyNumberFormat="1" applyFont="1" applyFill="1" applyBorder="1" applyAlignment="1" applyProtection="1">
      <alignment horizontal="center" vertical="center"/>
      <protection locked="0"/>
    </xf>
    <xf numFmtId="180" fontId="1" fillId="0" borderId="1" xfId="65" applyNumberFormat="1" applyFont="1" applyFill="1" applyBorder="1" applyProtection="1">
      <alignment vertical="center"/>
    </xf>
    <xf numFmtId="0" fontId="2" fillId="0" borderId="1" xfId="55" applyFont="1" applyFill="1" applyBorder="1" applyAlignment="1" applyProtection="1">
      <alignment horizontal="justify" vertical="center" wrapText="1"/>
      <protection locked="0"/>
    </xf>
    <xf numFmtId="179" fontId="1" fillId="0" borderId="1" xfId="0" applyNumberFormat="1" applyFont="1" applyFill="1" applyBorder="1" applyAlignment="1" applyProtection="1">
      <alignment vertical="center"/>
    </xf>
    <xf numFmtId="179" fontId="6" fillId="0" borderId="9" xfId="0" applyNumberFormat="1" applyFont="1" applyFill="1" applyBorder="1" applyAlignment="1">
      <alignment vertical="center"/>
    </xf>
    <xf numFmtId="179" fontId="3" fillId="0" borderId="1" xfId="0" applyNumberFormat="1" applyFont="1" applyFill="1" applyBorder="1" applyAlignment="1" applyProtection="1">
      <alignment vertical="center"/>
      <protection locked="0"/>
    </xf>
    <xf numFmtId="179" fontId="3" fillId="0" borderId="9" xfId="0" applyNumberFormat="1" applyFont="1" applyFill="1" applyBorder="1" applyAlignment="1" applyProtection="1">
      <alignment vertical="center"/>
      <protection locked="0"/>
    </xf>
    <xf numFmtId="180" fontId="1" fillId="0" borderId="1" xfId="0" applyNumberFormat="1" applyFont="1" applyFill="1" applyBorder="1" applyAlignment="1" applyProtection="1">
      <alignment vertical="center"/>
    </xf>
    <xf numFmtId="0" fontId="2" fillId="0" borderId="8" xfId="0" applyFont="1" applyFill="1" applyBorder="1" applyAlignment="1" applyProtection="1">
      <alignment horizontal="center" vertical="center"/>
      <protection locked="0"/>
    </xf>
    <xf numFmtId="180" fontId="2" fillId="0" borderId="9" xfId="0" applyNumberFormat="1" applyFont="1" applyFill="1" applyBorder="1" applyAlignment="1" applyProtection="1">
      <alignment horizontal="center" vertical="center"/>
      <protection locked="0"/>
    </xf>
    <xf numFmtId="183" fontId="1" fillId="0" borderId="1" xfId="0" applyNumberFormat="1" applyFont="1" applyFill="1" applyBorder="1" applyAlignment="1" applyProtection="1">
      <alignment vertical="center"/>
    </xf>
    <xf numFmtId="179" fontId="1" fillId="0" borderId="1" xfId="40" applyNumberFormat="1" applyFont="1" applyFill="1" applyBorder="1" applyAlignment="1">
      <alignment vertical="center"/>
    </xf>
    <xf numFmtId="179" fontId="1" fillId="0" borderId="1" xfId="0" applyNumberFormat="1" applyFont="1" applyFill="1" applyBorder="1" applyAlignment="1" applyProtection="1">
      <alignment horizontal="right" vertical="center"/>
    </xf>
    <xf numFmtId="183" fontId="3" fillId="0" borderId="1" xfId="0" applyNumberFormat="1" applyFont="1" applyFill="1" applyBorder="1" applyAlignment="1" applyProtection="1">
      <alignment vertical="center"/>
      <protection locked="0"/>
    </xf>
    <xf numFmtId="180" fontId="1" fillId="0" borderId="5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179" fontId="2" fillId="0" borderId="0" xfId="0" applyNumberFormat="1" applyFont="1" applyFill="1" applyBorder="1" applyAlignment="1" applyProtection="1">
      <alignment vertical="center"/>
    </xf>
    <xf numFmtId="183" fontId="12" fillId="0" borderId="0" xfId="0" applyNumberFormat="1" applyFont="1" applyFill="1" applyBorder="1" applyAlignment="1" applyProtection="1">
      <alignment vertical="center"/>
      <protection locked="0"/>
    </xf>
    <xf numFmtId="179" fontId="6" fillId="0" borderId="0" xfId="0" applyNumberFormat="1" applyFont="1" applyFill="1" applyBorder="1" applyAlignment="1">
      <alignment horizontal="right" vertical="center"/>
    </xf>
    <xf numFmtId="10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179" fontId="6" fillId="0" borderId="1" xfId="0" applyNumberFormat="1" applyFont="1" applyFill="1" applyBorder="1" applyAlignment="1">
      <alignment horizontal="right" vertical="center"/>
    </xf>
    <xf numFmtId="177" fontId="9" fillId="0" borderId="10" xfId="4" applyNumberFormat="1" applyFont="1" applyFill="1" applyBorder="1" applyAlignment="1">
      <alignment horizontal="right" vertical="center"/>
    </xf>
    <xf numFmtId="0" fontId="7" fillId="0" borderId="1" xfId="1" applyFont="1" applyFill="1" applyBorder="1" applyAlignment="1" applyProtection="1">
      <alignment horizontal="left" vertical="center" wrapText="1"/>
      <protection locked="0"/>
    </xf>
    <xf numFmtId="177" fontId="9" fillId="0" borderId="11" xfId="4" applyNumberFormat="1" applyFont="1" applyFill="1" applyBorder="1" applyAlignment="1">
      <alignment horizontal="right" vertical="center"/>
    </xf>
    <xf numFmtId="177" fontId="9" fillId="0" borderId="12" xfId="4" applyNumberFormat="1" applyFont="1" applyFill="1" applyBorder="1" applyAlignment="1">
      <alignment horizontal="right" vertical="center"/>
    </xf>
    <xf numFmtId="177" fontId="9" fillId="0" borderId="13" xfId="4" applyNumberFormat="1" applyFont="1" applyFill="1" applyBorder="1" applyAlignment="1">
      <alignment horizontal="right" vertical="center"/>
    </xf>
    <xf numFmtId="177" fontId="9" fillId="0" borderId="14" xfId="4" applyNumberFormat="1" applyFont="1" applyFill="1" applyBorder="1" applyAlignment="1">
      <alignment horizontal="right" vertical="center"/>
    </xf>
    <xf numFmtId="181" fontId="3" fillId="0" borderId="0" xfId="0" applyNumberFormat="1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0" fontId="13" fillId="0" borderId="0" xfId="0" applyFont="1" applyFill="1" applyAlignment="1">
      <alignment horizontal="center"/>
    </xf>
    <xf numFmtId="0" fontId="1" fillId="0" borderId="2" xfId="6" applyFont="1" applyFill="1" applyBorder="1" applyAlignment="1">
      <alignment horizontal="center" vertical="center" wrapText="1"/>
    </xf>
    <xf numFmtId="0" fontId="1" fillId="0" borderId="9" xfId="6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81" fontId="14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/>
    <xf numFmtId="0" fontId="6" fillId="0" borderId="0" xfId="0" applyFont="1" applyFill="1" applyBorder="1" applyAlignment="1"/>
    <xf numFmtId="0" fontId="15" fillId="0" borderId="0" xfId="0" applyFont="1" applyFill="1" applyBorder="1" applyAlignment="1"/>
    <xf numFmtId="0" fontId="16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15" xfId="0" applyNumberFormat="1" applyFont="1" applyFill="1" applyBorder="1" applyAlignment="1" applyProtection="1">
      <alignment horizontal="center" vertical="center" wrapText="1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18" fillId="0" borderId="16" xfId="0" applyNumberFormat="1" applyFont="1" applyFill="1" applyBorder="1" applyAlignment="1" applyProtection="1">
      <alignment horizontal="center" vertical="center" wrapText="1"/>
    </xf>
    <xf numFmtId="0" fontId="18" fillId="0" borderId="4" xfId="0" applyNumberFormat="1" applyFont="1" applyFill="1" applyBorder="1" applyAlignment="1" applyProtection="1">
      <alignment horizontal="center" vertical="center" wrapText="1"/>
    </xf>
    <xf numFmtId="0" fontId="18" fillId="0" borderId="4" xfId="0" applyNumberFormat="1" applyFont="1" applyFill="1" applyBorder="1" applyAlignment="1" applyProtection="1">
      <alignment horizontal="left" vertical="center"/>
    </xf>
    <xf numFmtId="187" fontId="18" fillId="0" borderId="4" xfId="0" applyNumberFormat="1" applyFont="1" applyFill="1" applyBorder="1" applyAlignment="1" applyProtection="1">
      <alignment horizontal="right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49" fontId="18" fillId="0" borderId="4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/>
    <xf numFmtId="0" fontId="20" fillId="0" borderId="2" xfId="6" applyFont="1" applyFill="1" applyBorder="1" applyAlignment="1">
      <alignment horizontal="center" vertical="center" wrapText="1"/>
    </xf>
    <xf numFmtId="0" fontId="20" fillId="0" borderId="9" xfId="6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181" fontId="21" fillId="0" borderId="1" xfId="0" applyNumberFormat="1" applyFont="1" applyFill="1" applyBorder="1" applyAlignment="1">
      <alignment horizontal="center" vertical="center"/>
    </xf>
    <xf numFmtId="0" fontId="11" fillId="0" borderId="0" xfId="47" applyFont="1" applyFill="1">
      <alignment vertical="center"/>
    </xf>
    <xf numFmtId="0" fontId="6" fillId="0" borderId="0" xfId="47" applyFill="1">
      <alignment vertical="center"/>
    </xf>
    <xf numFmtId="182" fontId="6" fillId="0" borderId="0" xfId="47" applyNumberFormat="1" applyFill="1" applyAlignment="1">
      <alignment horizontal="center" vertical="center"/>
    </xf>
    <xf numFmtId="182" fontId="6" fillId="0" borderId="0" xfId="47" applyNumberFormat="1" applyFill="1" applyAlignment="1">
      <alignment horizontal="right" vertical="center"/>
    </xf>
    <xf numFmtId="0" fontId="6" fillId="0" borderId="0" xfId="47" applyFill="1" applyAlignment="1">
      <alignment horizontal="center" vertical="center"/>
    </xf>
    <xf numFmtId="0" fontId="4" fillId="0" borderId="0" xfId="47" applyFont="1" applyFill="1">
      <alignment vertical="center"/>
    </xf>
    <xf numFmtId="0" fontId="22" fillId="0" borderId="0" xfId="9" applyFont="1" applyFill="1" applyAlignment="1">
      <alignment horizontal="center" vertical="center" wrapText="1"/>
    </xf>
    <xf numFmtId="0" fontId="7" fillId="0" borderId="5" xfId="9" applyFill="1" applyBorder="1" applyAlignment="1">
      <alignment horizontal="right" vertical="center" wrapText="1"/>
    </xf>
    <xf numFmtId="0" fontId="2" fillId="0" borderId="1" xfId="7" applyFont="1" applyFill="1" applyBorder="1" applyAlignment="1">
      <alignment horizontal="center" vertical="center" wrapText="1"/>
    </xf>
    <xf numFmtId="0" fontId="2" fillId="0" borderId="7" xfId="7" applyFont="1" applyFill="1" applyBorder="1" applyAlignment="1">
      <alignment horizontal="center" vertical="center" wrapText="1"/>
    </xf>
    <xf numFmtId="0" fontId="2" fillId="0" borderId="8" xfId="7" applyFont="1" applyFill="1" applyBorder="1" applyAlignment="1">
      <alignment horizontal="center" vertical="center" wrapText="1"/>
    </xf>
    <xf numFmtId="182" fontId="2" fillId="0" borderId="1" xfId="63" applyNumberFormat="1" applyFont="1" applyFill="1" applyBorder="1" applyAlignment="1">
      <alignment horizontal="center" vertical="center"/>
    </xf>
    <xf numFmtId="182" fontId="2" fillId="0" borderId="2" xfId="63" applyNumberFormat="1" applyFont="1" applyFill="1" applyBorder="1" applyAlignment="1">
      <alignment horizontal="center" vertical="center"/>
    </xf>
    <xf numFmtId="0" fontId="2" fillId="0" borderId="2" xfId="47" applyFont="1" applyFill="1" applyBorder="1" applyAlignment="1">
      <alignment horizontal="center" vertical="center" wrapText="1"/>
    </xf>
    <xf numFmtId="182" fontId="2" fillId="0" borderId="3" xfId="63" applyNumberFormat="1" applyFont="1" applyFill="1" applyBorder="1" applyAlignment="1">
      <alignment horizontal="center" vertical="center"/>
    </xf>
    <xf numFmtId="0" fontId="2" fillId="0" borderId="3" xfId="47" applyFont="1" applyFill="1" applyBorder="1" applyAlignment="1">
      <alignment horizontal="center" vertical="center" wrapText="1"/>
    </xf>
    <xf numFmtId="0" fontId="8" fillId="0" borderId="1" xfId="9" applyFont="1" applyFill="1" applyBorder="1" applyAlignment="1">
      <alignment horizontal="left" vertical="center" wrapText="1"/>
    </xf>
    <xf numFmtId="186" fontId="1" fillId="0" borderId="1" xfId="63" applyNumberFormat="1" applyFont="1" applyFill="1" applyBorder="1" applyAlignment="1">
      <alignment horizontal="center" vertical="center"/>
    </xf>
    <xf numFmtId="186" fontId="1" fillId="0" borderId="1" xfId="63" applyNumberFormat="1" applyFont="1" applyFill="1" applyBorder="1" applyAlignment="1">
      <alignment horizontal="right" vertical="center"/>
    </xf>
    <xf numFmtId="188" fontId="2" fillId="0" borderId="1" xfId="63" applyNumberFormat="1" applyFont="1" applyFill="1" applyBorder="1" applyAlignment="1">
      <alignment horizontal="right" vertical="center"/>
    </xf>
    <xf numFmtId="0" fontId="2" fillId="0" borderId="1" xfId="9" applyFont="1" applyFill="1" applyBorder="1" applyAlignment="1">
      <alignment horizontal="left" vertical="center" wrapText="1"/>
    </xf>
    <xf numFmtId="179" fontId="2" fillId="0" borderId="1" xfId="63" applyNumberFormat="1" applyFont="1" applyFill="1" applyBorder="1" applyAlignment="1">
      <alignment horizontal="right" vertical="center"/>
    </xf>
    <xf numFmtId="0" fontId="1" fillId="0" borderId="1" xfId="9" applyFont="1" applyFill="1" applyBorder="1" applyAlignment="1">
      <alignment horizontal="left" vertical="center" wrapText="1"/>
    </xf>
    <xf numFmtId="179" fontId="1" fillId="0" borderId="1" xfId="63" applyNumberFormat="1" applyFont="1" applyFill="1" applyBorder="1" applyAlignment="1">
      <alignment horizontal="right" vertical="center"/>
    </xf>
    <xf numFmtId="177" fontId="1" fillId="0" borderId="1" xfId="63" applyNumberFormat="1" applyFont="1" applyFill="1" applyBorder="1" applyAlignment="1">
      <alignment horizontal="right" vertical="center"/>
    </xf>
    <xf numFmtId="0" fontId="7" fillId="0" borderId="1" xfId="9" applyFill="1" applyBorder="1" applyAlignment="1">
      <alignment horizontal="left" vertical="center" wrapText="1"/>
    </xf>
    <xf numFmtId="0" fontId="1" fillId="0" borderId="1" xfId="63" applyFont="1" applyFill="1" applyBorder="1" applyAlignment="1">
      <alignment vertical="center" wrapText="1"/>
    </xf>
    <xf numFmtId="179" fontId="1" fillId="0" borderId="0" xfId="47" applyNumberFormat="1" applyFont="1" applyFill="1" applyAlignment="1">
      <alignment horizontal="right" vertical="center"/>
    </xf>
    <xf numFmtId="0" fontId="8" fillId="0" borderId="1" xfId="9" applyFont="1" applyFill="1" applyBorder="1" applyAlignment="1">
      <alignment horizontal="center" vertical="center" wrapText="1"/>
    </xf>
    <xf numFmtId="0" fontId="1" fillId="0" borderId="1" xfId="5" applyFont="1" applyFill="1" applyBorder="1" applyAlignment="1">
      <alignment horizontal="left" vertical="center" indent="1"/>
    </xf>
    <xf numFmtId="0" fontId="2" fillId="0" borderId="9" xfId="7" applyFont="1" applyFill="1" applyBorder="1" applyAlignment="1">
      <alignment horizontal="center" vertical="center" wrapText="1"/>
    </xf>
    <xf numFmtId="0" fontId="2" fillId="0" borderId="1" xfId="7" applyFont="1" applyFill="1" applyBorder="1" applyAlignment="1">
      <alignment horizontal="center" vertical="center"/>
    </xf>
    <xf numFmtId="0" fontId="2" fillId="0" borderId="2" xfId="63" applyFont="1" applyFill="1" applyBorder="1" applyAlignment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182" fontId="2" fillId="0" borderId="1" xfId="46" applyNumberFormat="1" applyFont="1" applyFill="1" applyBorder="1" applyAlignment="1">
      <alignment horizontal="center" vertical="center" wrapText="1"/>
    </xf>
    <xf numFmtId="0" fontId="2" fillId="0" borderId="3" xfId="63" applyFont="1" applyFill="1" applyBorder="1" applyAlignment="1">
      <alignment horizontal="center" vertical="center" wrapText="1"/>
    </xf>
    <xf numFmtId="186" fontId="2" fillId="0" borderId="1" xfId="63" applyNumberFormat="1" applyFont="1" applyFill="1" applyBorder="1" applyAlignment="1">
      <alignment horizontal="right" vertical="center"/>
    </xf>
    <xf numFmtId="188" fontId="1" fillId="0" borderId="1" xfId="63" applyNumberFormat="1" applyFont="1" applyFill="1" applyBorder="1" applyAlignment="1">
      <alignment horizontal="right" vertical="center"/>
    </xf>
    <xf numFmtId="0" fontId="6" fillId="0" borderId="0" xfId="63" applyFill="1">
      <alignment vertical="center"/>
    </xf>
    <xf numFmtId="0" fontId="11" fillId="0" borderId="0" xfId="63" applyFont="1" applyFill="1">
      <alignment vertical="center"/>
    </xf>
    <xf numFmtId="185" fontId="2" fillId="0" borderId="1" xfId="46" applyFont="1" applyFill="1" applyBorder="1" applyAlignment="1">
      <alignment horizontal="center" vertical="center" wrapText="1"/>
    </xf>
    <xf numFmtId="185" fontId="2" fillId="0" borderId="1" xfId="46" applyFont="1" applyFill="1" applyBorder="1" applyAlignment="1">
      <alignment horizontal="center" vertical="center"/>
    </xf>
    <xf numFmtId="179" fontId="11" fillId="0" borderId="0" xfId="63" applyNumberFormat="1" applyFont="1" applyFill="1">
      <alignment vertical="center"/>
    </xf>
    <xf numFmtId="188" fontId="8" fillId="0" borderId="1" xfId="9" applyNumberFormat="1" applyFont="1" applyFill="1" applyBorder="1" applyAlignment="1">
      <alignment horizontal="right" vertical="center" wrapText="1"/>
    </xf>
    <xf numFmtId="188" fontId="7" fillId="0" borderId="1" xfId="9" applyNumberFormat="1" applyFill="1" applyBorder="1" applyAlignment="1">
      <alignment horizontal="right" vertical="center" wrapText="1"/>
    </xf>
    <xf numFmtId="0" fontId="3" fillId="0" borderId="0" xfId="41" applyFill="1"/>
    <xf numFmtId="0" fontId="23" fillId="0" borderId="0" xfId="41" applyFont="1" applyFill="1"/>
    <xf numFmtId="0" fontId="6" fillId="0" borderId="0" xfId="47" applyFont="1" applyFill="1">
      <alignment vertical="center"/>
    </xf>
    <xf numFmtId="0" fontId="6" fillId="0" borderId="0" xfId="47" applyFont="1" applyFill="1" applyAlignment="1">
      <alignment horizontal="center" vertical="center"/>
    </xf>
    <xf numFmtId="0" fontId="6" fillId="0" borderId="0" xfId="47" applyFont="1" applyFill="1" applyAlignment="1">
      <alignment horizontal="right" vertical="center"/>
    </xf>
    <xf numFmtId="0" fontId="12" fillId="0" borderId="0" xfId="47" applyFont="1" applyFill="1" applyAlignment="1">
      <alignment horizontal="center" vertical="center"/>
    </xf>
    <xf numFmtId="182" fontId="6" fillId="0" borderId="0" xfId="47" applyNumberFormat="1" applyFont="1" applyFill="1" applyAlignment="1">
      <alignment horizontal="center" vertical="center"/>
    </xf>
    <xf numFmtId="182" fontId="6" fillId="0" borderId="0" xfId="47" applyNumberFormat="1" applyFont="1" applyFill="1" applyAlignment="1">
      <alignment horizontal="right" vertical="center"/>
    </xf>
    <xf numFmtId="0" fontId="22" fillId="0" borderId="0" xfId="55" applyFont="1" applyFill="1" applyAlignment="1">
      <alignment horizontal="center" vertical="center" wrapText="1"/>
    </xf>
    <xf numFmtId="0" fontId="1" fillId="0" borderId="5" xfId="55" applyFont="1" applyFill="1" applyBorder="1" applyAlignment="1">
      <alignment horizontal="right" vertical="center" wrapText="1"/>
    </xf>
    <xf numFmtId="0" fontId="6" fillId="0" borderId="1" xfId="47" applyFont="1" applyFill="1" applyBorder="1" applyAlignment="1">
      <alignment horizontal="center" vertical="center"/>
    </xf>
    <xf numFmtId="0" fontId="2" fillId="0" borderId="2" xfId="7" applyFont="1" applyFill="1" applyBorder="1" applyAlignment="1">
      <alignment horizontal="center" vertical="center"/>
    </xf>
    <xf numFmtId="0" fontId="2" fillId="0" borderId="3" xfId="7" applyFont="1" applyFill="1" applyBorder="1" applyAlignment="1">
      <alignment horizontal="center" vertical="center"/>
    </xf>
    <xf numFmtId="0" fontId="11" fillId="0" borderId="1" xfId="47" applyFont="1" applyFill="1" applyBorder="1">
      <alignment vertical="center"/>
    </xf>
    <xf numFmtId="0" fontId="2" fillId="0" borderId="1" xfId="2" applyFont="1" applyFill="1" applyBorder="1" applyAlignment="1">
      <alignment horizontal="left" vertical="center" wrapText="1"/>
    </xf>
    <xf numFmtId="0" fontId="6" fillId="0" borderId="1" xfId="47" applyFont="1" applyFill="1" applyBorder="1">
      <alignment vertical="center"/>
    </xf>
    <xf numFmtId="0" fontId="1" fillId="0" borderId="1" xfId="2" applyFont="1" applyFill="1" applyBorder="1" applyAlignment="1">
      <alignment horizontal="left" vertical="center" wrapText="1"/>
    </xf>
    <xf numFmtId="177" fontId="2" fillId="0" borderId="1" xfId="63" applyNumberFormat="1" applyFont="1" applyFill="1" applyBorder="1" applyAlignment="1">
      <alignment horizontal="right" vertical="center"/>
    </xf>
    <xf numFmtId="0" fontId="1" fillId="0" borderId="1" xfId="3" applyFont="1" applyFill="1" applyBorder="1" applyAlignment="1" applyProtection="1">
      <alignment vertical="center"/>
      <protection locked="0"/>
    </xf>
    <xf numFmtId="0" fontId="2" fillId="0" borderId="1" xfId="2" applyFont="1" applyFill="1" applyBorder="1" applyAlignment="1">
      <alignment horizontal="center" vertical="center" wrapText="1"/>
    </xf>
    <xf numFmtId="0" fontId="6" fillId="0" borderId="0" xfId="63" applyFont="1" applyFill="1">
      <alignment vertical="center"/>
    </xf>
    <xf numFmtId="0" fontId="6" fillId="0" borderId="0" xfId="63" applyFont="1" applyFill="1" applyAlignment="1">
      <alignment horizontal="center" vertical="center"/>
    </xf>
    <xf numFmtId="0" fontId="6" fillId="0" borderId="0" xfId="63" applyFont="1" applyFill="1" applyAlignment="1">
      <alignment horizontal="right" vertical="center"/>
    </xf>
    <xf numFmtId="0" fontId="2" fillId="0" borderId="2" xfId="63" applyFont="1" applyFill="1" applyBorder="1" applyAlignment="1">
      <alignment horizontal="center" vertical="center"/>
    </xf>
    <xf numFmtId="0" fontId="2" fillId="0" borderId="3" xfId="63" applyFont="1" applyFill="1" applyBorder="1" applyAlignment="1">
      <alignment horizontal="center" vertical="center"/>
    </xf>
    <xf numFmtId="0" fontId="12" fillId="0" borderId="0" xfId="63" applyFont="1" applyFill="1" applyAlignment="1">
      <alignment horizontal="center" vertical="center"/>
    </xf>
    <xf numFmtId="0" fontId="6" fillId="0" borderId="0" xfId="55" applyFont="1" applyFill="1"/>
    <xf numFmtId="0" fontId="2" fillId="0" borderId="0" xfId="55" applyFont="1" applyFill="1"/>
    <xf numFmtId="185" fontId="2" fillId="0" borderId="2" xfId="46" applyFont="1" applyFill="1" applyBorder="1" applyAlignment="1">
      <alignment horizontal="center" vertical="center" wrapText="1"/>
    </xf>
    <xf numFmtId="185" fontId="2" fillId="0" borderId="3" xfId="46" applyFont="1" applyFill="1" applyBorder="1" applyAlignment="1">
      <alignment horizontal="center" vertical="center" wrapText="1"/>
    </xf>
    <xf numFmtId="0" fontId="1" fillId="0" borderId="0" xfId="55" applyFont="1" applyFill="1"/>
    <xf numFmtId="0" fontId="1" fillId="0" borderId="0" xfId="63" applyFont="1" applyFill="1">
      <alignment vertical="center"/>
    </xf>
    <xf numFmtId="0" fontId="2" fillId="0" borderId="0" xfId="63" applyFont="1" applyFill="1">
      <alignment vertical="center"/>
    </xf>
    <xf numFmtId="0" fontId="12" fillId="0" borderId="0" xfId="55" applyFont="1" applyFill="1" applyAlignment="1">
      <alignment horizontal="center" vertical="center"/>
    </xf>
    <xf numFmtId="0" fontId="24" fillId="0" borderId="0" xfId="55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vertical="center"/>
    </xf>
    <xf numFmtId="178" fontId="28" fillId="2" borderId="1" xfId="0" applyNumberFormat="1" applyFont="1" applyFill="1" applyBorder="1" applyAlignment="1">
      <alignment vertical="center"/>
    </xf>
    <xf numFmtId="0" fontId="26" fillId="0" borderId="1" xfId="0" applyFont="1" applyFill="1" applyBorder="1" applyAlignment="1">
      <alignment vertical="center"/>
    </xf>
    <xf numFmtId="178" fontId="26" fillId="2" borderId="1" xfId="0" applyNumberFormat="1" applyFont="1" applyFill="1" applyBorder="1" applyAlignment="1">
      <alignment vertical="center"/>
    </xf>
    <xf numFmtId="0" fontId="26" fillId="0" borderId="17" xfId="0" applyFont="1" applyFill="1" applyBorder="1" applyAlignment="1">
      <alignment horizontal="left" vertical="center" wrapText="1"/>
    </xf>
    <xf numFmtId="0" fontId="26" fillId="0" borderId="17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31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181" fontId="32" fillId="0" borderId="1" xfId="0" applyNumberFormat="1" applyFont="1" applyFill="1" applyBorder="1" applyAlignment="1">
      <alignment horizontal="center" vertical="center"/>
    </xf>
    <xf numFmtId="0" fontId="32" fillId="0" borderId="3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181" fontId="9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0" fontId="34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5" fillId="0" borderId="0" xfId="0" applyNumberFormat="1" applyFont="1" applyFill="1" applyBorder="1" applyAlignment="1" applyProtection="1">
      <alignment horizontal="right" vertical="center"/>
    </xf>
    <xf numFmtId="0" fontId="7" fillId="0" borderId="18" xfId="0" applyNumberFormat="1" applyFont="1" applyFill="1" applyBorder="1" applyAlignment="1" applyProtection="1">
      <alignment horizontal="center" vertical="center"/>
    </xf>
    <xf numFmtId="0" fontId="35" fillId="0" borderId="18" xfId="0" applyNumberFormat="1" applyFont="1" applyFill="1" applyBorder="1" applyAlignment="1" applyProtection="1">
      <alignment horizontal="center" vertical="center"/>
    </xf>
    <xf numFmtId="0" fontId="36" fillId="0" borderId="1" xfId="0" applyFont="1" applyFill="1" applyBorder="1" applyAlignment="1">
      <alignment horizontal="center"/>
    </xf>
    <xf numFmtId="43" fontId="37" fillId="0" borderId="1" xfId="0" applyNumberFormat="1" applyFont="1" applyFill="1" applyBorder="1" applyAlignment="1"/>
    <xf numFmtId="0" fontId="35" fillId="0" borderId="1" xfId="0" applyNumberFormat="1" applyFont="1" applyFill="1" applyBorder="1" applyAlignment="1" applyProtection="1">
      <alignment vertical="center"/>
    </xf>
    <xf numFmtId="0" fontId="37" fillId="0" borderId="1" xfId="0" applyFont="1" applyFill="1" applyBorder="1" applyAlignment="1">
      <alignment horizontal="left"/>
    </xf>
    <xf numFmtId="0" fontId="35" fillId="0" borderId="1" xfId="0" applyNumberFormat="1" applyFont="1" applyFill="1" applyBorder="1" applyAlignment="1" applyProtection="1"/>
    <xf numFmtId="0" fontId="19" fillId="0" borderId="0" xfId="0" applyFont="1" applyFill="1" applyBorder="1" applyAlignment="1" applyProtection="1"/>
    <xf numFmtId="0" fontId="16" fillId="0" borderId="0" xfId="0" applyFont="1" applyFill="1" applyBorder="1" applyAlignment="1" applyProtection="1">
      <alignment vertical="center"/>
    </xf>
    <xf numFmtId="0" fontId="17" fillId="0" borderId="0" xfId="0" applyFont="1" applyFill="1" applyBorder="1" applyAlignment="1" applyProtection="1">
      <alignment horizontal="center" vertical="center"/>
    </xf>
    <xf numFmtId="0" fontId="18" fillId="0" borderId="15" xfId="0" applyFont="1" applyFill="1" applyBorder="1" applyAlignment="1" applyProtection="1">
      <alignment horizontal="center" vertical="center" wrapText="1"/>
    </xf>
    <xf numFmtId="0" fontId="18" fillId="0" borderId="4" xfId="0" applyFont="1" applyFill="1" applyBorder="1" applyAlignment="1" applyProtection="1">
      <alignment horizontal="center" vertical="center"/>
    </xf>
    <xf numFmtId="0" fontId="18" fillId="0" borderId="16" xfId="0" applyFont="1" applyFill="1" applyBorder="1" applyAlignment="1" applyProtection="1">
      <alignment horizontal="center" vertical="center" wrapText="1"/>
    </xf>
    <xf numFmtId="0" fontId="18" fillId="0" borderId="4" xfId="0" applyFont="1" applyFill="1" applyBorder="1" applyAlignment="1" applyProtection="1">
      <alignment horizontal="center" vertical="center" wrapText="1"/>
    </xf>
    <xf numFmtId="0" fontId="18" fillId="0" borderId="4" xfId="0" applyFont="1" applyFill="1" applyBorder="1" applyAlignment="1" applyProtection="1">
      <alignment horizontal="left" vertical="center"/>
    </xf>
    <xf numFmtId="0" fontId="38" fillId="0" borderId="4" xfId="0" applyNumberFormat="1" applyFont="1" applyFill="1" applyBorder="1" applyAlignment="1" applyProtection="1">
      <alignment horizontal="left" vertical="center"/>
    </xf>
    <xf numFmtId="187" fontId="38" fillId="0" borderId="4" xfId="0" applyNumberFormat="1" applyFont="1" applyFill="1" applyBorder="1" applyAlignment="1" applyProtection="1">
      <alignment horizontal="right" vertical="center"/>
    </xf>
    <xf numFmtId="0" fontId="38" fillId="0" borderId="4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right" vertical="center"/>
    </xf>
    <xf numFmtId="49" fontId="38" fillId="0" borderId="4" xfId="0" applyNumberFormat="1" applyFont="1" applyFill="1" applyBorder="1" applyAlignment="1" applyProtection="1">
      <alignment vertical="center"/>
    </xf>
    <xf numFmtId="0" fontId="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vertical="center"/>
    </xf>
    <xf numFmtId="0" fontId="4" fillId="0" borderId="0" xfId="47" applyFont="1" applyFill="1" applyAlignment="1">
      <alignment horizontal="center" vertical="center"/>
    </xf>
    <xf numFmtId="0" fontId="22" fillId="0" borderId="0" xfId="3" applyFont="1" applyFill="1" applyAlignment="1">
      <alignment horizontal="center" vertical="center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79" fontId="2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horizontal="right" vertical="center"/>
    </xf>
    <xf numFmtId="0" fontId="2" fillId="0" borderId="19" xfId="0" applyFont="1" applyFill="1" applyBorder="1" applyAlignment="1">
      <alignment horizontal="left" vertical="center"/>
    </xf>
    <xf numFmtId="179" fontId="2" fillId="0" borderId="19" xfId="0" applyNumberFormat="1" applyFont="1" applyFill="1" applyBorder="1" applyAlignment="1">
      <alignment horizontal="right" vertical="center"/>
    </xf>
    <xf numFmtId="0" fontId="2" fillId="0" borderId="19" xfId="0" applyFont="1" applyFill="1" applyBorder="1" applyAlignment="1">
      <alignment horizontal="center" vertical="center"/>
    </xf>
    <xf numFmtId="188" fontId="2" fillId="0" borderId="1" xfId="54" applyNumberFormat="1" applyFont="1" applyFill="1" applyBorder="1" applyAlignment="1">
      <alignment horizontal="right" vertical="center"/>
    </xf>
    <xf numFmtId="179" fontId="1" fillId="0" borderId="1" xfId="54" applyNumberFormat="1" applyFont="1" applyFill="1" applyBorder="1" applyAlignment="1">
      <alignment horizontal="center" vertical="center"/>
    </xf>
    <xf numFmtId="179" fontId="1" fillId="0" borderId="1" xfId="54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179" fontId="2" fillId="0" borderId="1" xfId="54" applyNumberFormat="1" applyFont="1" applyFill="1" applyBorder="1" applyAlignment="1">
      <alignment horizontal="right" vertical="center"/>
    </xf>
    <xf numFmtId="179" fontId="2" fillId="0" borderId="1" xfId="54" applyNumberFormat="1" applyFont="1" applyFill="1" applyBorder="1" applyAlignment="1">
      <alignment horizontal="center" vertical="center"/>
    </xf>
    <xf numFmtId="3" fontId="39" fillId="0" borderId="1" xfId="0" applyNumberFormat="1" applyFont="1" applyFill="1" applyBorder="1">
      <alignment vertical="center"/>
    </xf>
    <xf numFmtId="179" fontId="39" fillId="0" borderId="1" xfId="0" applyNumberFormat="1" applyFont="1" applyFill="1" applyBorder="1" applyAlignment="1">
      <alignment horizontal="right" vertical="center"/>
    </xf>
    <xf numFmtId="0" fontId="2" fillId="0" borderId="2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1" fillId="0" borderId="0" xfId="3" applyFont="1" applyFill="1" applyAlignment="1">
      <alignment horizontal="right" vertical="center"/>
    </xf>
    <xf numFmtId="3" fontId="2" fillId="0" borderId="1" xfId="0" applyNumberFormat="1" applyFont="1" applyFill="1" applyBorder="1" applyAlignment="1">
      <alignment horizontal="center" vertical="center"/>
    </xf>
    <xf numFmtId="0" fontId="2" fillId="0" borderId="1" xfId="3" applyFont="1" applyFill="1" applyBorder="1" applyAlignment="1" applyProtection="1">
      <alignment horizontal="left" vertical="center" wrapText="1"/>
      <protection locked="0"/>
    </xf>
    <xf numFmtId="0" fontId="2" fillId="0" borderId="1" xfId="3" applyFont="1" applyFill="1" applyBorder="1" applyAlignment="1" applyProtection="1">
      <alignment vertical="center" wrapText="1"/>
      <protection locked="0"/>
    </xf>
    <xf numFmtId="179" fontId="1" fillId="0" borderId="1" xfId="5" applyNumberFormat="1" applyFont="1" applyFill="1" applyBorder="1" applyAlignment="1">
      <alignment horizontal="right" vertical="center"/>
    </xf>
    <xf numFmtId="179" fontId="1" fillId="0" borderId="1" xfId="7" applyNumberFormat="1" applyFont="1" applyFill="1" applyBorder="1" applyAlignment="1">
      <alignment horizontal="center" vertical="center"/>
    </xf>
    <xf numFmtId="0" fontId="2" fillId="0" borderId="1" xfId="3" applyFont="1" applyFill="1" applyBorder="1" applyAlignment="1" applyProtection="1">
      <alignment horizontal="center" vertical="center" wrapText="1"/>
      <protection locked="0"/>
    </xf>
    <xf numFmtId="3" fontId="6" fillId="0" borderId="0" xfId="3" applyNumberFormat="1" applyFont="1" applyFill="1" applyAlignment="1">
      <alignment horizontal="center" vertical="center"/>
    </xf>
    <xf numFmtId="179" fontId="6" fillId="0" borderId="0" xfId="3" applyNumberFormat="1" applyFont="1" applyFill="1" applyAlignment="1">
      <alignment horizontal="center" vertical="center"/>
    </xf>
    <xf numFmtId="179" fontId="6" fillId="0" borderId="0" xfId="3" applyNumberFormat="1" applyFont="1" applyFill="1" applyAlignment="1">
      <alignment vertical="center"/>
    </xf>
    <xf numFmtId="179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3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3" fontId="39" fillId="0" borderId="1" xfId="0" applyNumberFormat="1" applyFont="1" applyFill="1" applyBorder="1" applyAlignment="1">
      <alignment horizontal="center" vertical="center"/>
    </xf>
    <xf numFmtId="179" fontId="2" fillId="0" borderId="1" xfId="3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center" vertical="center"/>
    </xf>
    <xf numFmtId="179" fontId="1" fillId="0" borderId="1" xfId="7" applyNumberFormat="1" applyFont="1" applyFill="1" applyBorder="1" applyAlignment="1">
      <alignment horizontal="right" vertical="center"/>
    </xf>
    <xf numFmtId="0" fontId="1" fillId="0" borderId="0" xfId="3" applyFont="1" applyFill="1"/>
    <xf numFmtId="0" fontId="11" fillId="0" borderId="0" xfId="3" applyFont="1" applyFill="1"/>
    <xf numFmtId="0" fontId="6" fillId="0" borderId="0" xfId="3" applyFont="1" applyFill="1"/>
    <xf numFmtId="0" fontId="2" fillId="0" borderId="2" xfId="3" applyFont="1" applyFill="1" applyBorder="1" applyAlignment="1">
      <alignment horizontal="center" vertical="center"/>
    </xf>
    <xf numFmtId="0" fontId="2" fillId="0" borderId="20" xfId="3" applyFont="1" applyFill="1" applyBorder="1" applyAlignment="1">
      <alignment horizontal="center" vertical="center"/>
    </xf>
    <xf numFmtId="0" fontId="2" fillId="0" borderId="3" xfId="3" applyFont="1" applyFill="1" applyBorder="1" applyAlignment="1">
      <alignment horizontal="center" vertical="center"/>
    </xf>
    <xf numFmtId="0" fontId="2" fillId="0" borderId="19" xfId="0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1" fillId="0" borderId="1" xfId="3" applyFont="1" applyFill="1" applyBorder="1"/>
    <xf numFmtId="0" fontId="2" fillId="0" borderId="1" xfId="3" applyFont="1" applyFill="1" applyBorder="1" applyAlignment="1" applyProtection="1">
      <alignment vertical="center"/>
      <protection locked="0"/>
    </xf>
    <xf numFmtId="179" fontId="6" fillId="0" borderId="0" xfId="3" applyNumberFormat="1" applyFont="1" applyFill="1"/>
    <xf numFmtId="0" fontId="2" fillId="0" borderId="7" xfId="3" applyFont="1" applyFill="1" applyBorder="1" applyAlignment="1">
      <alignment horizontal="center" vertical="center" wrapText="1"/>
    </xf>
    <xf numFmtId="0" fontId="2" fillId="0" borderId="9" xfId="3" applyFont="1" applyFill="1" applyBorder="1" applyAlignment="1">
      <alignment horizontal="center" vertical="center" wrapText="1"/>
    </xf>
    <xf numFmtId="0" fontId="2" fillId="0" borderId="1" xfId="54" applyFont="1" applyFill="1" applyBorder="1" applyAlignment="1">
      <alignment horizontal="right" vertical="center"/>
    </xf>
    <xf numFmtId="3" fontId="1" fillId="0" borderId="1" xfId="54" applyNumberFormat="1" applyFont="1" applyFill="1" applyBorder="1" applyAlignment="1">
      <alignment horizontal="right" vertical="center"/>
    </xf>
    <xf numFmtId="0" fontId="1" fillId="0" borderId="1" xfId="54" applyFont="1" applyFill="1" applyBorder="1" applyAlignment="1">
      <alignment horizontal="right" vertical="center"/>
    </xf>
    <xf numFmtId="0" fontId="40" fillId="0" borderId="0" xfId="0" applyFont="1" applyFill="1" applyAlignment="1">
      <alignment vertical="center"/>
    </xf>
    <xf numFmtId="178" fontId="40" fillId="0" borderId="0" xfId="0" applyNumberFormat="1" applyFont="1" applyFill="1" applyAlignment="1">
      <alignment vertical="center"/>
    </xf>
    <xf numFmtId="0" fontId="6" fillId="0" borderId="0" xfId="0" applyFont="1" applyFill="1" applyBorder="1" applyAlignment="1">
      <alignment horizontal="center"/>
    </xf>
    <xf numFmtId="0" fontId="31" fillId="0" borderId="2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vertical="center"/>
    </xf>
    <xf numFmtId="0" fontId="40" fillId="0" borderId="0" xfId="0" applyFont="1" applyFill="1" applyAlignment="1">
      <alignment horizontal="center" vertical="center"/>
    </xf>
    <xf numFmtId="0" fontId="41" fillId="0" borderId="0" xfId="0" applyFont="1" applyFill="1" applyAlignment="1">
      <alignment vertical="center"/>
    </xf>
    <xf numFmtId="0" fontId="42" fillId="0" borderId="0" xfId="0" applyFont="1" applyFill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184" fontId="41" fillId="0" borderId="1" xfId="0" applyNumberFormat="1" applyFont="1" applyFill="1" applyBorder="1" applyAlignment="1">
      <alignment vertical="center"/>
    </xf>
    <xf numFmtId="0" fontId="41" fillId="0" borderId="1" xfId="0" applyFont="1" applyFill="1" applyBorder="1" applyAlignment="1">
      <alignment vertical="center"/>
    </xf>
    <xf numFmtId="0" fontId="41" fillId="0" borderId="1" xfId="0" applyFont="1" applyFill="1" applyBorder="1" applyAlignment="1">
      <alignment vertical="center"/>
    </xf>
    <xf numFmtId="0" fontId="40" fillId="0" borderId="1" xfId="0" applyFont="1" applyFill="1" applyBorder="1" applyAlignment="1">
      <alignment vertical="center"/>
    </xf>
    <xf numFmtId="184" fontId="40" fillId="0" borderId="1" xfId="0" applyNumberFormat="1" applyFont="1" applyFill="1" applyBorder="1" applyAlignment="1">
      <alignment vertical="center"/>
    </xf>
    <xf numFmtId="0" fontId="40" fillId="0" borderId="0" xfId="0" applyFont="1" applyFill="1" applyAlignment="1">
      <alignment horizontal="right" vertical="center"/>
    </xf>
    <xf numFmtId="0" fontId="43" fillId="0" borderId="0" xfId="0" applyFont="1" applyFill="1" applyBorder="1" applyAlignment="1" applyProtection="1"/>
    <xf numFmtId="0" fontId="44" fillId="0" borderId="0" xfId="0" applyFont="1" applyFill="1" applyBorder="1" applyAlignment="1" applyProtection="1">
      <alignment horizontal="center" vertical="center"/>
    </xf>
    <xf numFmtId="181" fontId="18" fillId="0" borderId="4" xfId="0" applyNumberFormat="1" applyFont="1" applyFill="1" applyBorder="1" applyAlignment="1" applyProtection="1">
      <alignment horizontal="left" vertical="center"/>
    </xf>
    <xf numFmtId="181" fontId="38" fillId="0" borderId="4" xfId="0" applyNumberFormat="1" applyFont="1" applyFill="1" applyBorder="1" applyAlignment="1" applyProtection="1">
      <alignment horizontal="left" vertical="center"/>
    </xf>
    <xf numFmtId="0" fontId="6" fillId="0" borderId="0" xfId="8" applyFont="1" applyFill="1"/>
    <xf numFmtId="0" fontId="23" fillId="0" borderId="0" xfId="8" applyFont="1" applyFill="1"/>
    <xf numFmtId="0" fontId="3" fillId="0" borderId="0" xfId="8" applyFont="1" applyFill="1"/>
    <xf numFmtId="0" fontId="6" fillId="0" borderId="0" xfId="0" applyFont="1" applyFill="1">
      <alignment vertical="center"/>
    </xf>
    <xf numFmtId="0" fontId="1" fillId="0" borderId="0" xfId="8" applyFont="1" applyFill="1"/>
    <xf numFmtId="0" fontId="3" fillId="0" borderId="0" xfId="8" applyFont="1" applyFill="1" applyAlignment="1">
      <alignment vertical="center" wrapText="1"/>
    </xf>
    <xf numFmtId="189" fontId="3" fillId="0" borderId="0" xfId="8" applyNumberFormat="1" applyFont="1" applyFill="1"/>
    <xf numFmtId="183" fontId="3" fillId="0" borderId="0" xfId="8" applyNumberFormat="1" applyFont="1" applyFill="1"/>
    <xf numFmtId="0" fontId="0" fillId="0" borderId="0" xfId="0" applyFill="1">
      <alignment vertical="center"/>
    </xf>
    <xf numFmtId="0" fontId="4" fillId="0" borderId="0" xfId="8" applyFont="1" applyFill="1" applyAlignment="1">
      <alignment vertical="center" wrapText="1"/>
    </xf>
    <xf numFmtId="0" fontId="6" fillId="0" borderId="0" xfId="8" applyFont="1" applyFill="1" applyAlignment="1">
      <alignment vertical="center" wrapText="1"/>
    </xf>
    <xf numFmtId="0" fontId="45" fillId="0" borderId="0" xfId="31" applyFont="1" applyFill="1" applyAlignment="1">
      <alignment horizontal="center" vertical="center"/>
    </xf>
    <xf numFmtId="0" fontId="1" fillId="0" borderId="0" xfId="8" applyFont="1" applyFill="1" applyAlignment="1">
      <alignment vertical="center"/>
    </xf>
    <xf numFmtId="0" fontId="1" fillId="0" borderId="0" xfId="8" applyFont="1" applyFill="1" applyAlignment="1">
      <alignment vertical="center" wrapText="1"/>
    </xf>
    <xf numFmtId="0" fontId="1" fillId="0" borderId="0" xfId="8" applyFont="1" applyFill="1" applyAlignment="1">
      <alignment horizontal="center" vertical="center"/>
    </xf>
    <xf numFmtId="0" fontId="2" fillId="0" borderId="2" xfId="55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/>
    </xf>
    <xf numFmtId="0" fontId="2" fillId="0" borderId="20" xfId="55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 wrapText="1"/>
    </xf>
    <xf numFmtId="0" fontId="2" fillId="0" borderId="3" xfId="55" applyFont="1" applyFill="1" applyBorder="1" applyAlignment="1">
      <alignment horizontal="center" vertical="center"/>
    </xf>
    <xf numFmtId="176" fontId="2" fillId="0" borderId="7" xfId="6" applyNumberFormat="1" applyFont="1" applyFill="1" applyBorder="1"/>
    <xf numFmtId="179" fontId="2" fillId="0" borderId="1" xfId="10" applyNumberFormat="1" applyFont="1" applyFill="1" applyBorder="1" applyAlignment="1">
      <alignment horizontal="right" vertical="center"/>
    </xf>
    <xf numFmtId="188" fontId="2" fillId="0" borderId="1" xfId="10" applyNumberFormat="1" applyFont="1" applyFill="1" applyBorder="1" applyAlignment="1">
      <alignment horizontal="right" vertical="center"/>
    </xf>
    <xf numFmtId="176" fontId="1" fillId="0" borderId="7" xfId="6" applyNumberFormat="1" applyFont="1" applyFill="1" applyBorder="1"/>
    <xf numFmtId="179" fontId="1" fillId="0" borderId="1" xfId="10" applyNumberFormat="1" applyFont="1" applyFill="1" applyBorder="1" applyAlignment="1">
      <alignment horizontal="right" vertical="center"/>
    </xf>
    <xf numFmtId="188" fontId="2" fillId="0" borderId="1" xfId="55" applyNumberFormat="1" applyFont="1" applyFill="1" applyBorder="1" applyAlignment="1">
      <alignment horizontal="right" vertical="center"/>
    </xf>
    <xf numFmtId="183" fontId="6" fillId="0" borderId="0" xfId="8" applyNumberFormat="1" applyFont="1" applyFill="1"/>
    <xf numFmtId="189" fontId="6" fillId="0" borderId="0" xfId="8" applyNumberFormat="1" applyFont="1" applyFill="1"/>
    <xf numFmtId="183" fontId="6" fillId="0" borderId="0" xfId="8" applyNumberFormat="1" applyFont="1" applyFill="1" applyAlignment="1">
      <alignment vertical="center"/>
    </xf>
    <xf numFmtId="181" fontId="1" fillId="0" borderId="0" xfId="8" applyNumberFormat="1" applyFont="1" applyFill="1" applyAlignment="1">
      <alignment vertical="center"/>
    </xf>
    <xf numFmtId="189" fontId="1" fillId="0" borderId="0" xfId="8" applyNumberFormat="1" applyFont="1" applyFill="1" applyAlignment="1">
      <alignment vertical="center"/>
    </xf>
    <xf numFmtId="183" fontId="1" fillId="0" borderId="0" xfId="8" applyNumberFormat="1" applyFont="1" applyFill="1" applyAlignment="1">
      <alignment vertical="center"/>
    </xf>
    <xf numFmtId="0" fontId="2" fillId="0" borderId="2" xfId="55" applyFont="1" applyFill="1" applyBorder="1" applyAlignment="1">
      <alignment horizontal="center" vertical="center" wrapText="1"/>
    </xf>
    <xf numFmtId="0" fontId="2" fillId="0" borderId="3" xfId="55" applyFont="1" applyFill="1" applyBorder="1" applyAlignment="1">
      <alignment horizontal="center" vertical="center" wrapText="1"/>
    </xf>
    <xf numFmtId="189" fontId="2" fillId="0" borderId="1" xfId="55" applyNumberFormat="1" applyFont="1" applyFill="1" applyBorder="1" applyAlignment="1">
      <alignment horizontal="center" vertical="center"/>
    </xf>
    <xf numFmtId="183" fontId="2" fillId="0" borderId="1" xfId="55" applyNumberFormat="1" applyFont="1" applyFill="1" applyBorder="1" applyAlignment="1">
      <alignment horizontal="center" vertical="center"/>
    </xf>
    <xf numFmtId="0" fontId="1" fillId="0" borderId="0" xfId="8" applyFont="1" applyFill="1" applyAlignment="1">
      <alignment horizontal="center"/>
    </xf>
    <xf numFmtId="0" fontId="1" fillId="0" borderId="0" xfId="55" applyFont="1" applyFill="1" applyAlignment="1">
      <alignment horizontal="center" vertical="center"/>
    </xf>
    <xf numFmtId="179" fontId="2" fillId="0" borderId="0" xfId="10" applyNumberFormat="1" applyFont="1" applyFill="1" applyAlignment="1">
      <alignment horizontal="right" vertical="center"/>
    </xf>
    <xf numFmtId="179" fontId="1" fillId="0" borderId="0" xfId="10" applyNumberFormat="1" applyFont="1" applyFill="1" applyAlignment="1">
      <alignment horizontal="right" vertical="center"/>
    </xf>
    <xf numFmtId="179" fontId="2" fillId="0" borderId="0" xfId="8" applyNumberFormat="1" applyFont="1" applyFill="1"/>
    <xf numFmtId="49" fontId="1" fillId="0" borderId="7" xfId="5" applyNumberFormat="1" applyFont="1" applyFill="1" applyBorder="1" applyAlignment="1">
      <alignment horizontal="left" vertical="center"/>
    </xf>
    <xf numFmtId="179" fontId="1" fillId="0" borderId="1" xfId="10" applyNumberFormat="1" applyFont="1" applyFill="1" applyBorder="1" applyAlignment="1">
      <alignment horizontal="center" vertical="center"/>
    </xf>
    <xf numFmtId="179" fontId="1" fillId="0" borderId="1" xfId="10" applyNumberFormat="1" applyFont="1" applyFill="1" applyBorder="1" applyAlignment="1">
      <alignment vertical="center"/>
    </xf>
    <xf numFmtId="179" fontId="2" fillId="0" borderId="1" xfId="10" applyNumberFormat="1" applyFont="1" applyFill="1" applyBorder="1" applyAlignment="1">
      <alignment horizontal="center" vertical="center"/>
    </xf>
    <xf numFmtId="176" fontId="1" fillId="0" borderId="1" xfId="6" applyNumberFormat="1" applyFont="1" applyFill="1" applyBorder="1"/>
    <xf numFmtId="0" fontId="6" fillId="0" borderId="1" xfId="0" applyFont="1" applyFill="1" applyBorder="1">
      <alignment vertical="center"/>
    </xf>
    <xf numFmtId="183" fontId="39" fillId="0" borderId="1" xfId="0" applyNumberFormat="1" applyFont="1" applyFill="1" applyBorder="1">
      <alignment vertical="center"/>
    </xf>
    <xf numFmtId="183" fontId="1" fillId="0" borderId="1" xfId="10" applyNumberFormat="1" applyFont="1" applyFill="1" applyBorder="1" applyAlignment="1">
      <alignment horizontal="right" vertical="center"/>
    </xf>
    <xf numFmtId="176" fontId="20" fillId="0" borderId="7" xfId="6" applyNumberFormat="1" applyFont="1" applyFill="1" applyBorder="1"/>
    <xf numFmtId="179" fontId="1" fillId="0" borderId="0" xfId="10" applyNumberFormat="1" applyFont="1" applyFill="1" applyAlignment="1">
      <alignment horizontal="center" vertical="center"/>
    </xf>
    <xf numFmtId="0" fontId="23" fillId="0" borderId="1" xfId="8" applyFont="1" applyFill="1" applyBorder="1"/>
    <xf numFmtId="1" fontId="2" fillId="0" borderId="1" xfId="55" applyNumberFormat="1" applyFont="1" applyFill="1" applyBorder="1" applyAlignment="1" applyProtection="1">
      <alignment vertical="center"/>
      <protection locked="0"/>
    </xf>
    <xf numFmtId="179" fontId="2" fillId="0" borderId="1" xfId="42" applyNumberFormat="1" applyFont="1" applyFill="1" applyBorder="1" applyAlignment="1">
      <alignment horizontal="right" vertical="center"/>
    </xf>
    <xf numFmtId="1" fontId="1" fillId="0" borderId="1" xfId="55" applyNumberFormat="1" applyFont="1" applyFill="1" applyBorder="1" applyAlignment="1" applyProtection="1">
      <alignment vertical="center"/>
      <protection locked="0"/>
    </xf>
    <xf numFmtId="179" fontId="1" fillId="0" borderId="1" xfId="42" applyNumberFormat="1" applyFont="1" applyFill="1" applyBorder="1" applyAlignment="1">
      <alignment horizontal="right" vertical="center"/>
    </xf>
    <xf numFmtId="0" fontId="2" fillId="0" borderId="1" xfId="55" applyFont="1" applyFill="1" applyBorder="1" applyAlignment="1">
      <alignment horizontal="left" vertical="center"/>
    </xf>
    <xf numFmtId="1" fontId="1" fillId="0" borderId="1" xfId="55" applyNumberFormat="1" applyFont="1" applyFill="1" applyBorder="1" applyAlignment="1" applyProtection="1">
      <alignment horizontal="left" vertical="center"/>
      <protection locked="0"/>
    </xf>
    <xf numFmtId="0" fontId="1" fillId="0" borderId="1" xfId="55" applyFont="1" applyFill="1" applyBorder="1" applyAlignment="1" applyProtection="1">
      <alignment vertical="center"/>
      <protection locked="0"/>
    </xf>
    <xf numFmtId="179" fontId="6" fillId="0" borderId="0" xfId="8" applyNumberFormat="1" applyFont="1" applyFill="1"/>
    <xf numFmtId="179" fontId="3" fillId="0" borderId="0" xfId="8" applyNumberFormat="1" applyFont="1" applyFill="1" applyAlignment="1">
      <alignment vertical="center" wrapText="1"/>
    </xf>
    <xf numFmtId="179" fontId="1" fillId="0" borderId="1" xfId="55" applyNumberFormat="1" applyFont="1" applyFill="1" applyBorder="1" applyAlignment="1">
      <alignment horizontal="right" vertical="center"/>
    </xf>
    <xf numFmtId="179" fontId="1" fillId="0" borderId="1" xfId="8" applyNumberFormat="1" applyFont="1" applyFill="1" applyBorder="1" applyAlignment="1">
      <alignment horizontal="right"/>
    </xf>
    <xf numFmtId="179" fontId="3" fillId="0" borderId="0" xfId="8" applyNumberFormat="1" applyFont="1" applyFill="1"/>
    <xf numFmtId="179" fontId="2" fillId="0" borderId="0" xfId="42" applyNumberFormat="1" applyFont="1" applyFill="1" applyAlignment="1">
      <alignment horizontal="right" vertical="center"/>
    </xf>
    <xf numFmtId="179" fontId="1" fillId="0" borderId="0" xfId="8" applyNumberFormat="1" applyFont="1" applyFill="1" applyAlignment="1">
      <alignment horizontal="right"/>
    </xf>
    <xf numFmtId="179" fontId="23" fillId="0" borderId="0" xfId="8" applyNumberFormat="1" applyFont="1" applyFill="1"/>
    <xf numFmtId="183" fontId="3" fillId="0" borderId="0" xfId="8" applyNumberFormat="1" applyFont="1" applyFill="1" applyAlignment="1">
      <alignment horizontal="right"/>
    </xf>
    <xf numFmtId="189" fontId="6" fillId="0" borderId="0" xfId="8" applyNumberFormat="1" applyFont="1" applyFill="1" applyAlignment="1">
      <alignment horizontal="right"/>
    </xf>
    <xf numFmtId="0" fontId="45" fillId="0" borderId="0" xfId="31" applyFont="1" applyFill="1" applyAlignment="1">
      <alignment horizontal="right" vertical="center"/>
    </xf>
    <xf numFmtId="0" fontId="1" fillId="0" borderId="0" xfId="8" applyFont="1" applyFill="1" applyAlignment="1">
      <alignment horizontal="right" vertical="center"/>
    </xf>
    <xf numFmtId="0" fontId="2" fillId="0" borderId="1" xfId="55" applyFont="1" applyFill="1" applyBorder="1" applyAlignment="1">
      <alignment horizontal="right" vertical="center"/>
    </xf>
    <xf numFmtId="179" fontId="6" fillId="0" borderId="1" xfId="0" applyNumberFormat="1" applyFont="1" applyFill="1" applyBorder="1">
      <alignment vertical="center"/>
    </xf>
    <xf numFmtId="183" fontId="23" fillId="0" borderId="0" xfId="8" applyNumberFormat="1" applyFont="1" applyFill="1"/>
    <xf numFmtId="183" fontId="6" fillId="0" borderId="0" xfId="8" applyNumberFormat="1" applyFont="1" applyFill="1" applyAlignment="1">
      <alignment horizontal="right"/>
    </xf>
    <xf numFmtId="0" fontId="11" fillId="0" borderId="0" xfId="8" applyFont="1" applyFill="1"/>
    <xf numFmtId="0" fontId="6" fillId="0" borderId="0" xfId="8" applyFont="1" applyFill="1" applyAlignment="1">
      <alignment vertical="center"/>
    </xf>
    <xf numFmtId="0" fontId="1" fillId="0" borderId="0" xfId="8" applyFont="1" applyFill="1" applyAlignment="1">
      <alignment wrapText="1"/>
    </xf>
    <xf numFmtId="0" fontId="6" fillId="0" borderId="0" xfId="8" applyFont="1" applyFill="1" applyAlignment="1">
      <alignment wrapText="1"/>
    </xf>
    <xf numFmtId="0" fontId="6" fillId="0" borderId="5" xfId="8" applyFont="1" applyFill="1" applyBorder="1" applyAlignment="1">
      <alignment horizontal="center"/>
    </xf>
    <xf numFmtId="0" fontId="2" fillId="0" borderId="2" xfId="6" applyFont="1" applyFill="1" applyBorder="1" applyAlignment="1">
      <alignment horizontal="center" vertical="center" wrapText="1"/>
    </xf>
    <xf numFmtId="0" fontId="2" fillId="0" borderId="7" xfId="6" applyFont="1" applyFill="1" applyBorder="1" applyAlignment="1">
      <alignment horizontal="center" vertical="center"/>
    </xf>
    <xf numFmtId="0" fontId="2" fillId="0" borderId="8" xfId="6" applyFont="1" applyFill="1" applyBorder="1" applyAlignment="1">
      <alignment horizontal="center" vertical="center"/>
    </xf>
    <xf numFmtId="0" fontId="2" fillId="0" borderId="20" xfId="6" applyFont="1" applyFill="1" applyBorder="1" applyAlignment="1">
      <alignment horizontal="center" vertical="center" wrapText="1"/>
    </xf>
    <xf numFmtId="0" fontId="2" fillId="0" borderId="2" xfId="6" applyFont="1" applyFill="1" applyBorder="1" applyAlignment="1">
      <alignment horizontal="center" vertical="center"/>
    </xf>
    <xf numFmtId="189" fontId="2" fillId="0" borderId="2" xfId="6" applyNumberFormat="1" applyFont="1" applyFill="1" applyBorder="1" applyAlignment="1">
      <alignment horizontal="center" vertical="center" wrapText="1"/>
    </xf>
    <xf numFmtId="0" fontId="2" fillId="0" borderId="3" xfId="6" applyFont="1" applyFill="1" applyBorder="1" applyAlignment="1">
      <alignment horizontal="center" vertical="center" wrapText="1"/>
    </xf>
    <xf numFmtId="0" fontId="2" fillId="0" borderId="3" xfId="6" applyFont="1" applyFill="1" applyBorder="1" applyAlignment="1">
      <alignment horizontal="center" vertical="center"/>
    </xf>
    <xf numFmtId="189" fontId="2" fillId="0" borderId="3" xfId="6" applyNumberFormat="1" applyFont="1" applyFill="1" applyBorder="1" applyAlignment="1">
      <alignment horizontal="center" vertical="center" wrapText="1"/>
    </xf>
    <xf numFmtId="0" fontId="1" fillId="0" borderId="1" xfId="6" applyFont="1" applyFill="1" applyBorder="1" applyAlignment="1">
      <alignment vertical="center" wrapText="1"/>
    </xf>
    <xf numFmtId="189" fontId="2" fillId="0" borderId="1" xfId="6" applyNumberFormat="1" applyFont="1" applyFill="1" applyBorder="1" applyAlignment="1">
      <alignment horizontal="right" vertical="center"/>
    </xf>
    <xf numFmtId="189" fontId="1" fillId="0" borderId="1" xfId="6" applyNumberFormat="1" applyFont="1" applyFill="1" applyBorder="1" applyAlignment="1">
      <alignment horizontal="right" vertical="center"/>
    </xf>
    <xf numFmtId="0" fontId="1" fillId="0" borderId="1" xfId="6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 wrapText="1"/>
    </xf>
    <xf numFmtId="1" fontId="2" fillId="0" borderId="1" xfId="6" applyNumberFormat="1" applyFont="1" applyFill="1" applyBorder="1" applyAlignment="1" applyProtection="1">
      <alignment vertical="center" wrapText="1"/>
      <protection locked="0"/>
    </xf>
    <xf numFmtId="1" fontId="1" fillId="0" borderId="1" xfId="6" applyNumberFormat="1" applyFont="1" applyFill="1" applyBorder="1" applyAlignment="1" applyProtection="1">
      <alignment horizontal="left" vertical="center" wrapText="1"/>
      <protection locked="0"/>
    </xf>
    <xf numFmtId="1" fontId="1" fillId="0" borderId="1" xfId="6" applyNumberFormat="1" applyFont="1" applyFill="1" applyBorder="1" applyAlignment="1" applyProtection="1">
      <alignment vertical="center" wrapText="1"/>
      <protection locked="0"/>
    </xf>
    <xf numFmtId="1" fontId="1" fillId="0" borderId="1" xfId="0" applyNumberFormat="1" applyFont="1" applyFill="1" applyBorder="1" applyAlignment="1" applyProtection="1">
      <alignment horizontal="left" vertical="center"/>
      <protection locked="0"/>
    </xf>
    <xf numFmtId="1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2" fillId="0" borderId="9" xfId="6" applyFont="1" applyFill="1" applyBorder="1" applyAlignment="1">
      <alignment horizontal="center" vertical="center"/>
    </xf>
    <xf numFmtId="183" fontId="2" fillId="0" borderId="3" xfId="6" applyNumberFormat="1" applyFont="1" applyFill="1" applyBorder="1" applyAlignment="1">
      <alignment horizontal="center" vertical="center"/>
    </xf>
    <xf numFmtId="189" fontId="2" fillId="0" borderId="3" xfId="6" applyNumberFormat="1" applyFont="1" applyFill="1" applyBorder="1" applyAlignment="1">
      <alignment horizontal="center" vertical="center"/>
    </xf>
    <xf numFmtId="179" fontId="1" fillId="0" borderId="1" xfId="28" applyNumberFormat="1" applyFont="1" applyFill="1" applyBorder="1" applyAlignment="1">
      <alignment horizontal="right" vertical="center"/>
    </xf>
    <xf numFmtId="189" fontId="1" fillId="0" borderId="5" xfId="8" applyNumberFormat="1" applyFont="1" applyFill="1" applyBorder="1" applyAlignment="1">
      <alignment horizontal="right" vertical="center"/>
    </xf>
    <xf numFmtId="0" fontId="2" fillId="0" borderId="1" xfId="6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46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48" fillId="0" borderId="0" xfId="0" applyFont="1">
      <alignment vertical="center"/>
    </xf>
    <xf numFmtId="0" fontId="49" fillId="0" borderId="0" xfId="0" applyFont="1">
      <alignment vertical="center"/>
    </xf>
    <xf numFmtId="0" fontId="46" fillId="0" borderId="0" xfId="0" applyFont="1" applyAlignment="1">
      <alignment vertical="center"/>
    </xf>
  </cellXfs>
  <cellStyles count="74">
    <cellStyle name="常规" xfId="0" builtinId="0"/>
    <cellStyle name="常规_全区社保" xfId="1"/>
    <cellStyle name="常规_Sheet1_Sheet3_2016年草案(国资预算定稿)" xfId="2"/>
    <cellStyle name="常规_2013年政府性基金预算草案0109陈改" xfId="3"/>
    <cellStyle name="Normal" xfId="4"/>
    <cellStyle name="常规 2" xfId="5"/>
    <cellStyle name="常规_Sheet1" xfId="6"/>
    <cellStyle name="样式 1" xfId="7"/>
    <cellStyle name="常规_市直" xfId="8"/>
    <cellStyle name="常规_Sheet2_本级支" xfId="9"/>
    <cellStyle name="常规_01玉林市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差" xfId="15" builtinId="27"/>
    <cellStyle name="标题 1" xfId="16" builtinId="16"/>
    <cellStyle name="解释性文本" xfId="17" builtinId="53"/>
    <cellStyle name="标题 2" xfId="18" builtinId="17"/>
    <cellStyle name="40% - 强调文字颜色 5" xfId="19" builtinId="47"/>
    <cellStyle name="千位分隔[0]" xfId="20" builtinId="6"/>
    <cellStyle name="40% - 强调文字颜色 6" xfId="21" builtinId="51"/>
    <cellStyle name="超链接" xfId="22" builtinId="8"/>
    <cellStyle name="强调文字颜色 5" xfId="23" builtinId="45"/>
    <cellStyle name="标题 3" xfId="24" builtinId="18"/>
    <cellStyle name="汇总" xfId="25" builtinId="25"/>
    <cellStyle name="20% - 强调文字颜色 1" xfId="26" builtinId="30"/>
    <cellStyle name="40% - 强调文字颜色 1" xfId="27" builtinId="31"/>
    <cellStyle name="常规_Sheet1_2011年市直组织收入表" xfId="28"/>
    <cellStyle name="强调文字颜色 6" xfId="29" builtinId="49"/>
    <cellStyle name="千位分隔" xfId="30" builtinId="3"/>
    <cellStyle name="常规_2008年北流市预算表格" xfId="31"/>
    <cellStyle name="标题" xfId="32" builtinId="15"/>
    <cellStyle name="已访问的超链接" xfId="33" builtinId="9"/>
    <cellStyle name="40% - 强调文字颜色 4" xfId="34" builtinId="43"/>
    <cellStyle name="常规_全市基金汇总" xfId="35"/>
    <cellStyle name="链接单元格" xfId="36" builtinId="24"/>
    <cellStyle name="标题 4" xfId="37" builtinId="19"/>
    <cellStyle name="常规 11 7" xfId="38"/>
    <cellStyle name="20% - 强调文字颜色 2" xfId="39" builtinId="34"/>
    <cellStyle name="常规 10" xfId="40"/>
    <cellStyle name="常规_本级支" xfId="41"/>
    <cellStyle name="常规_北流" xfId="42"/>
    <cellStyle name="货币[0]" xfId="43" builtinId="7"/>
    <cellStyle name="常规_附件1：2013年玉林市社会保险基金收入、支出预算表" xfId="44"/>
    <cellStyle name="警告文本" xfId="45" builtinId="11"/>
    <cellStyle name="千位分隔[0]_2013年国有资本经营预算草案0107" xfId="46"/>
    <cellStyle name="常规_2016年草案(国资预算定稿)" xfId="47"/>
    <cellStyle name="常规_（打印）玉林市2025年1月财政收支执行情况表" xfId="48"/>
    <cellStyle name="40% - 强调文字颜色 2" xfId="49" builtinId="35"/>
    <cellStyle name="注释" xfId="50" builtinId="10"/>
    <cellStyle name="60% - 强调文字颜色 3" xfId="51" builtinId="40"/>
    <cellStyle name="好" xfId="52" builtinId="26"/>
    <cellStyle name="20% - 强调文字颜色 5" xfId="53" builtinId="46"/>
    <cellStyle name="常规_广西壮族自治区全区与自治区本级2012年预算执行情况和2013年预算（草案）（最终）" xfId="54"/>
    <cellStyle name="常规_Sheet1_1" xfId="55"/>
    <cellStyle name="适中" xfId="56" builtinId="28"/>
    <cellStyle name="计算" xfId="57" builtinId="22"/>
    <cellStyle name="强调文字颜色 1" xfId="58" builtinId="29"/>
    <cellStyle name="60% - 强调文字颜色 4" xfId="59" builtinId="44"/>
    <cellStyle name="常规_2010年玉林市级（含玉东）财政预算总表(确定报政府)0118" xfId="60"/>
    <cellStyle name="60% - 强调文字颜色 1" xfId="61" builtinId="32"/>
    <cellStyle name="强调文字颜色 2" xfId="62" builtinId="33"/>
    <cellStyle name="常规_2013年国有资本经营预算草案0107" xfId="63"/>
    <cellStyle name="60% - 强调文字颜色 5" xfId="64" builtinId="48"/>
    <cellStyle name="百分比" xfId="65" builtinId="5"/>
    <cellStyle name="60% - 强调文字颜色 2" xfId="66" builtinId="36"/>
    <cellStyle name="货币" xfId="67" builtinId="4"/>
    <cellStyle name="强调文字颜色 3" xfId="68" builtinId="37"/>
    <cellStyle name="20% - 强调文字颜色 3" xfId="69" builtinId="38"/>
    <cellStyle name="输入" xfId="70" builtinId="20"/>
    <cellStyle name="40% - 强调文字颜色 3" xfId="71" builtinId="39"/>
    <cellStyle name="强调文字颜色 4" xfId="72" builtinId="41"/>
    <cellStyle name="20% - 强调文字颜色 4" xfId="73" builtinId="4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&#25968;&#25454;&#30424;/2026&#24180;&#39044;&#31639;&#31185;&#24037;&#20316;/&#24180;&#21021;&#39044;&#31639;&#32534;&#21046;/&#65288;2026.1.22&#26202;&#19978;&#65289;2026&#24180;&#39044;&#31639;&#32534;&#21046;&#33609;&#26696;/&#65288;2026.1.22&#26202;&#19978;&#65289;2026&#24180;&#39044;&#31639;&#32534;&#21046;&#33609;&#26696;/&#65288;2026.1.22&#65289;&#25253;&#21578;&#21450;&#38468;&#34920;//media/&#25968;&#25454;&#30424;/2026&#24180;&#39044;&#31639;&#31185;&#24037;&#20316;/&#24180;&#21021;&#39044;&#31639;&#32534;&#21046;/&#65288;2026.1.8&#65289;2026&#24180;&#39044;&#31639;&#32534;&#21046;&#33609;&#26696;/2026.1.08&#25253;&#21578;&#21450;&#38468;&#34920;//media/&#25968;&#25454;&#30424;/2025&#24180;&#39044;&#31639;&#31185;&#24037;&#20316;/2025&#24180;&#24180;&#21021;&#39044;&#31639;&#23450;&#31295;/&#25253;&#21578;&#30340;&#38468;&#34920;&#23436;&#25972;&#29256;-2.14(1)//media/KINGSTON/2.14&#23436;&#25972;&#29256;/&#25253;&#21578;-2.14//home/gxxc/&#26700;&#38754;/1.16&#35843;&#25972;/&#33609;&#26696;+&#25253;&#21578;  1.15&#19978;&#25253;&#24066;&#22996;&#24066;&#25919;&#24220;/&#25253;&#21578;-&#25171;&#21360;&#19968;&#20221;&#24182;&#25195;&#25551;//home/gxxc/&#26700;&#38754;/&#20195;&#32534;-&#25171;&#21360;&#29256;//home/gxxc/&#26700;&#38754;/&#20195;&#32534;&#39044;&#31639;&#24067;&#32622;11.22&#20132;/&#38468;&#20214;1&#65306;2024&#24180;&#29577;&#26519;&#24066;&#19968;&#33324;&#20844;&#20849;&#39044;&#31639;&#25910;&#25903;&#34920;2.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草案封面"/>
      <sheetName val="目录"/>
      <sheetName val="封面"/>
      <sheetName val="全市一般收入"/>
      <sheetName val="全市一般支出"/>
      <sheetName val="市级一般收入"/>
      <sheetName val="市级一般支出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tabSelected="1" workbookViewId="0">
      <selection activeCell="I12" sqref="I12"/>
    </sheetView>
  </sheetViews>
  <sheetFormatPr defaultColWidth="9" defaultRowHeight="14.25"/>
  <cols>
    <col min="5" max="5" width="9" customWidth="1"/>
    <col min="7" max="7" width="9" customWidth="1"/>
  </cols>
  <sheetData>
    <row r="1" ht="28.5" spans="1:13">
      <c r="A1" s="430" t="s">
        <v>0</v>
      </c>
      <c r="B1" s="430"/>
      <c r="C1" s="430"/>
      <c r="D1" s="430"/>
      <c r="E1" s="430"/>
      <c r="F1" s="430"/>
      <c r="G1" s="434"/>
      <c r="H1" s="434"/>
      <c r="I1" s="434"/>
      <c r="J1" s="434"/>
      <c r="K1" s="434"/>
      <c r="L1" s="434"/>
      <c r="M1" s="434"/>
    </row>
    <row r="2" ht="18.75" spans="1:1">
      <c r="A2" s="431" t="s">
        <v>1</v>
      </c>
    </row>
    <row r="3" spans="1:1">
      <c r="A3" s="432" t="s">
        <v>2</v>
      </c>
    </row>
    <row r="4" spans="1:1">
      <c r="A4" s="432" t="s">
        <v>3</v>
      </c>
    </row>
    <row r="5" spans="1:1">
      <c r="A5" s="432" t="s">
        <v>4</v>
      </c>
    </row>
    <row r="6" spans="1:1">
      <c r="A6" s="432" t="s">
        <v>5</v>
      </c>
    </row>
    <row r="7" s="429" customFormat="1" spans="1:1">
      <c r="A7" s="433" t="s">
        <v>6</v>
      </c>
    </row>
    <row r="8" s="429" customFormat="1" spans="1:1">
      <c r="A8" s="433" t="s">
        <v>7</v>
      </c>
    </row>
    <row r="9" s="429" customFormat="1" spans="1:1">
      <c r="A9" s="433" t="s">
        <v>8</v>
      </c>
    </row>
    <row r="10" spans="1:1">
      <c r="A10" s="432" t="s">
        <v>9</v>
      </c>
    </row>
    <row r="11" spans="1:1">
      <c r="A11" s="432" t="s">
        <v>10</v>
      </c>
    </row>
    <row r="12" ht="18.75" spans="1:1">
      <c r="A12" s="431" t="s">
        <v>11</v>
      </c>
    </row>
    <row r="13" spans="1:1">
      <c r="A13" s="432" t="s">
        <v>12</v>
      </c>
    </row>
    <row r="14" spans="1:1">
      <c r="A14" s="432" t="s">
        <v>13</v>
      </c>
    </row>
    <row r="15" spans="1:1">
      <c r="A15" s="432" t="s">
        <v>14</v>
      </c>
    </row>
    <row r="16" spans="1:1">
      <c r="A16" s="432" t="s">
        <v>15</v>
      </c>
    </row>
    <row r="17" s="429" customFormat="1" spans="1:1">
      <c r="A17" s="433" t="s">
        <v>16</v>
      </c>
    </row>
    <row r="18" s="429" customFormat="1" spans="1:1">
      <c r="A18" s="433" t="s">
        <v>17</v>
      </c>
    </row>
    <row r="19" spans="1:1">
      <c r="A19" s="432" t="s">
        <v>18</v>
      </c>
    </row>
    <row r="20" spans="1:1">
      <c r="A20" s="432" t="s">
        <v>19</v>
      </c>
    </row>
    <row r="21" ht="18.75" spans="1:1">
      <c r="A21" s="431" t="s">
        <v>20</v>
      </c>
    </row>
    <row r="22" spans="1:1">
      <c r="A22" s="432" t="s">
        <v>21</v>
      </c>
    </row>
    <row r="23" spans="1:1">
      <c r="A23" s="432" t="s">
        <v>22</v>
      </c>
    </row>
    <row r="24" spans="1:1">
      <c r="A24" s="432" t="s">
        <v>23</v>
      </c>
    </row>
    <row r="25" spans="1:1">
      <c r="A25" s="432" t="s">
        <v>24</v>
      </c>
    </row>
    <row r="26" spans="1:1">
      <c r="A26" s="432" t="s">
        <v>25</v>
      </c>
    </row>
    <row r="27" s="429" customFormat="1" spans="1:1">
      <c r="A27" s="433" t="s">
        <v>26</v>
      </c>
    </row>
    <row r="28" ht="18.75" spans="1:1">
      <c r="A28" s="431" t="s">
        <v>27</v>
      </c>
    </row>
    <row r="29" spans="1:1">
      <c r="A29" s="432" t="s">
        <v>28</v>
      </c>
    </row>
    <row r="30" spans="1:1">
      <c r="A30" s="432" t="s">
        <v>29</v>
      </c>
    </row>
    <row r="31" spans="1:1">
      <c r="A31" s="432" t="s">
        <v>30</v>
      </c>
    </row>
    <row r="32" spans="1:1">
      <c r="A32" s="432" t="s">
        <v>31</v>
      </c>
    </row>
  </sheetData>
  <mergeCells count="1">
    <mergeCell ref="A1:F1"/>
  </mergeCells>
  <printOptions horizontalCentered="1"/>
  <pageMargins left="0.751388888888889" right="0.751388888888889" top="0.786805555555556" bottom="0.747916666666667" header="0.5" footer="0.5"/>
  <pageSetup paperSize="9" fitToHeight="0" orientation="landscape"/>
  <headerFooter>
    <oddFooter>&amp;C&amp;10第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E10" sqref="E10"/>
    </sheetView>
  </sheetViews>
  <sheetFormatPr defaultColWidth="9" defaultRowHeight="13.5" outlineLevelCol="3"/>
  <cols>
    <col min="1" max="1" width="51" style="302" customWidth="1"/>
    <col min="2" max="2" width="21.375" style="302" customWidth="1"/>
    <col min="3" max="3" width="20.625" style="302" customWidth="1"/>
    <col min="4" max="4" width="11.625" style="302" customWidth="1"/>
    <col min="5" max="6" width="14.125" style="302" customWidth="1"/>
    <col min="7" max="16384" width="9" style="302"/>
  </cols>
  <sheetData>
    <row r="1" ht="27" spans="1:3">
      <c r="A1" s="198" t="s">
        <v>1183</v>
      </c>
      <c r="B1" s="198"/>
      <c r="C1" s="198"/>
    </row>
    <row r="2" ht="27" customHeight="1" spans="1:3">
      <c r="A2" s="199"/>
      <c r="B2" s="199"/>
      <c r="C2" s="199" t="s">
        <v>1055</v>
      </c>
    </row>
    <row r="3" ht="27" customHeight="1" spans="1:3">
      <c r="A3" s="200" t="s">
        <v>1139</v>
      </c>
      <c r="B3" s="200" t="s">
        <v>1184</v>
      </c>
      <c r="C3" s="200" t="s">
        <v>1185</v>
      </c>
    </row>
    <row r="4" ht="27" customHeight="1" spans="1:3">
      <c r="A4" s="201" t="s">
        <v>1186</v>
      </c>
      <c r="B4" s="202">
        <v>335557.17</v>
      </c>
      <c r="C4" s="202">
        <v>186000.35</v>
      </c>
    </row>
    <row r="5" ht="27" customHeight="1" spans="1:3">
      <c r="A5" s="203" t="s">
        <v>1187</v>
      </c>
      <c r="B5" s="204">
        <v>329346.55</v>
      </c>
      <c r="C5" s="204">
        <v>181500</v>
      </c>
    </row>
    <row r="6" ht="27" customHeight="1" spans="1:3">
      <c r="A6" s="201" t="s">
        <v>1188</v>
      </c>
      <c r="B6" s="202">
        <v>292511</v>
      </c>
      <c r="C6" s="202">
        <v>145491</v>
      </c>
    </row>
    <row r="7" ht="27" customHeight="1" spans="1:3">
      <c r="A7" s="201" t="s">
        <v>1189</v>
      </c>
      <c r="B7" s="202">
        <v>70971.43</v>
      </c>
      <c r="C7" s="202">
        <v>33584.16</v>
      </c>
    </row>
    <row r="8" ht="27" customHeight="1" spans="1:3">
      <c r="A8" s="201" t="s">
        <v>1190</v>
      </c>
      <c r="B8" s="202">
        <f>SUM(B9:B10)</f>
        <v>145285</v>
      </c>
      <c r="C8" s="202">
        <f>SUM(C9:C10)</f>
        <v>56451</v>
      </c>
    </row>
    <row r="9" ht="27" customHeight="1" spans="1:4">
      <c r="A9" s="203" t="s">
        <v>1187</v>
      </c>
      <c r="B9" s="204">
        <v>130600</v>
      </c>
      <c r="C9" s="204">
        <v>55200</v>
      </c>
      <c r="D9" s="303"/>
    </row>
    <row r="10" ht="27" customHeight="1" spans="1:4">
      <c r="A10" s="203" t="s">
        <v>1191</v>
      </c>
      <c r="B10" s="204">
        <v>14685</v>
      </c>
      <c r="C10" s="204">
        <v>1251</v>
      </c>
      <c r="D10" s="303"/>
    </row>
    <row r="11" ht="27" customHeight="1" spans="1:3">
      <c r="A11" s="201" t="s">
        <v>1192</v>
      </c>
      <c r="B11" s="202">
        <v>65500</v>
      </c>
      <c r="C11" s="202">
        <v>8807</v>
      </c>
    </row>
    <row r="12" ht="27" customHeight="1" spans="1:3">
      <c r="A12" s="201" t="s">
        <v>1193</v>
      </c>
      <c r="B12" s="202">
        <f>SUM(B13)</f>
        <v>130600</v>
      </c>
      <c r="C12" s="202">
        <f>SUM(C13)</f>
        <v>55200</v>
      </c>
    </row>
    <row r="13" ht="27" customHeight="1" spans="1:3">
      <c r="A13" s="203" t="s">
        <v>1187</v>
      </c>
      <c r="B13" s="204">
        <v>130600</v>
      </c>
      <c r="C13" s="204">
        <v>55200</v>
      </c>
    </row>
    <row r="14" ht="24" customHeight="1" spans="1:3">
      <c r="A14" s="206" t="s">
        <v>1194</v>
      </c>
      <c r="B14" s="206"/>
      <c r="C14" s="206"/>
    </row>
    <row r="18" spans="3:3">
      <c r="C18" s="303"/>
    </row>
  </sheetData>
  <mergeCells count="2">
    <mergeCell ref="A1:C1"/>
    <mergeCell ref="A14:C14"/>
  </mergeCells>
  <pageMargins left="0.699305555555556" right="0.699305555555556" top="0.75" bottom="0.75" header="0.3" footer="0.3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  <pageSetUpPr fitToPage="1"/>
  </sheetPr>
  <dimension ref="A1:K169"/>
  <sheetViews>
    <sheetView showZeros="0" view="pageBreakPreview" zoomScaleNormal="100" zoomScaleSheetLayoutView="100" workbookViewId="0">
      <pane xSplit="1" ySplit="6" topLeftCell="B29" activePane="bottomRight" state="frozen"/>
      <selection/>
      <selection pane="topRight"/>
      <selection pane="bottomLeft"/>
      <selection pane="bottomRight" activeCell="B30" sqref="B30"/>
    </sheetView>
  </sheetViews>
  <sheetFormatPr defaultColWidth="9" defaultRowHeight="14.25"/>
  <cols>
    <col min="1" max="1" width="57.25" style="287" customWidth="1"/>
    <col min="2" max="2" width="12.75" style="287" customWidth="1"/>
    <col min="3" max="3" width="13.25" style="287" customWidth="1"/>
    <col min="4" max="4" width="8.5" style="287" customWidth="1"/>
    <col min="5" max="5" width="11.25" style="287" hidden="1" customWidth="1"/>
    <col min="6" max="6" width="11.5833333333333" style="287" customWidth="1"/>
    <col min="7" max="7" width="9.5" style="287" customWidth="1"/>
    <col min="8" max="8" width="13.75" style="287" customWidth="1"/>
    <col min="9" max="10" width="11.5833333333333" style="287" customWidth="1"/>
    <col min="11" max="11" width="9.25" style="287"/>
    <col min="12" max="12" width="15.3333333333333" style="287"/>
    <col min="13" max="16384" width="9" style="287"/>
  </cols>
  <sheetData>
    <row r="1" ht="18" customHeight="1" spans="1:9">
      <c r="A1" s="122"/>
      <c r="B1" s="168"/>
      <c r="C1" s="165"/>
      <c r="D1" s="165"/>
      <c r="E1" s="165"/>
      <c r="F1" s="165"/>
      <c r="G1" s="168"/>
      <c r="H1" s="165"/>
      <c r="I1" s="165"/>
    </row>
    <row r="2" ht="25.5" customHeight="1" spans="1:10">
      <c r="A2" s="248" t="s">
        <v>1195</v>
      </c>
      <c r="B2" s="248"/>
      <c r="C2" s="248"/>
      <c r="D2" s="248"/>
      <c r="E2" s="248"/>
      <c r="F2" s="248"/>
      <c r="G2" s="248"/>
      <c r="H2" s="248"/>
      <c r="I2" s="248"/>
      <c r="J2" s="248"/>
    </row>
    <row r="3" ht="18" customHeight="1" spans="1:10">
      <c r="A3" s="246"/>
      <c r="B3" s="246"/>
      <c r="C3" s="246"/>
      <c r="D3" s="246"/>
      <c r="E3" s="246"/>
      <c r="F3" s="246"/>
      <c r="G3" s="246"/>
      <c r="H3" s="246"/>
      <c r="I3" s="246"/>
      <c r="J3" s="268" t="s">
        <v>1055</v>
      </c>
    </row>
    <row r="4" s="285" customFormat="1" ht="18" customHeight="1" spans="1:10">
      <c r="A4" s="288" t="s">
        <v>1196</v>
      </c>
      <c r="B4" s="250" t="s">
        <v>1197</v>
      </c>
      <c r="C4" s="250"/>
      <c r="D4" s="250"/>
      <c r="E4" s="250"/>
      <c r="F4" s="250"/>
      <c r="G4" s="250"/>
      <c r="H4" s="249" t="s">
        <v>36</v>
      </c>
      <c r="I4" s="249"/>
      <c r="J4" s="249"/>
    </row>
    <row r="5" s="285" customFormat="1" ht="18" customHeight="1" spans="1:10">
      <c r="A5" s="289"/>
      <c r="B5" s="150" t="s">
        <v>1198</v>
      </c>
      <c r="C5" s="288" t="s">
        <v>38</v>
      </c>
      <c r="D5" s="266" t="s">
        <v>39</v>
      </c>
      <c r="E5" s="266" t="s">
        <v>1199</v>
      </c>
      <c r="F5" s="297" t="s">
        <v>1200</v>
      </c>
      <c r="G5" s="298"/>
      <c r="H5" s="249" t="s">
        <v>42</v>
      </c>
      <c r="I5" s="249" t="s">
        <v>43</v>
      </c>
      <c r="J5" s="249"/>
    </row>
    <row r="6" s="285" customFormat="1" ht="18" customHeight="1" spans="1:10">
      <c r="A6" s="290"/>
      <c r="B6" s="150"/>
      <c r="C6" s="290"/>
      <c r="D6" s="267"/>
      <c r="E6" s="267"/>
      <c r="F6" s="250" t="s">
        <v>44</v>
      </c>
      <c r="G6" s="250" t="s">
        <v>45</v>
      </c>
      <c r="H6" s="249"/>
      <c r="I6" s="249" t="s">
        <v>44</v>
      </c>
      <c r="J6" s="249" t="s">
        <v>45</v>
      </c>
    </row>
    <row r="7" s="286" customFormat="1" ht="19.5" customHeight="1" spans="1:10">
      <c r="A7" s="291" t="s">
        <v>1201</v>
      </c>
      <c r="B7" s="262"/>
      <c r="C7" s="262"/>
      <c r="D7" s="258"/>
      <c r="E7" s="299"/>
      <c r="F7" s="262">
        <f t="shared" ref="F7:F41" si="0">C7-E7</f>
        <v>0</v>
      </c>
      <c r="G7" s="258"/>
      <c r="H7" s="262"/>
      <c r="I7" s="262">
        <f t="shared" ref="I7:I41" si="1">H7-C7</f>
        <v>0</v>
      </c>
      <c r="J7" s="258"/>
    </row>
    <row r="8" s="286" customFormat="1" ht="19.5" customHeight="1" spans="1:10">
      <c r="A8" s="292" t="s">
        <v>1202</v>
      </c>
      <c r="B8" s="262"/>
      <c r="C8" s="262"/>
      <c r="D8" s="258"/>
      <c r="E8" s="299"/>
      <c r="F8" s="262">
        <f t="shared" si="0"/>
        <v>0</v>
      </c>
      <c r="G8" s="258"/>
      <c r="H8" s="262"/>
      <c r="I8" s="262">
        <f t="shared" si="1"/>
        <v>0</v>
      </c>
      <c r="J8" s="258"/>
    </row>
    <row r="9" s="286" customFormat="1" ht="19.5" customHeight="1" spans="1:10">
      <c r="A9" s="292" t="s">
        <v>1203</v>
      </c>
      <c r="B9" s="262">
        <v>60</v>
      </c>
      <c r="C9" s="262">
        <v>4</v>
      </c>
      <c r="D9" s="258">
        <f t="shared" ref="D9:D16" si="2">C9/B9*100</f>
        <v>6.66666666666667</v>
      </c>
      <c r="E9" s="262">
        <v>7</v>
      </c>
      <c r="F9" s="262">
        <f t="shared" si="0"/>
        <v>-3</v>
      </c>
      <c r="G9" s="258">
        <f t="shared" ref="G9:G16" si="3">F9/E9*100</f>
        <v>-42.8571428571429</v>
      </c>
      <c r="H9" s="262"/>
      <c r="I9" s="262">
        <f t="shared" si="1"/>
        <v>-4</v>
      </c>
      <c r="J9" s="258">
        <f t="shared" ref="J9:J16" si="4">I9/C9*100</f>
        <v>-100</v>
      </c>
    </row>
    <row r="10" s="286" customFormat="1" ht="19.5" customHeight="1" spans="1:10">
      <c r="A10" s="292" t="s">
        <v>1204</v>
      </c>
      <c r="B10" s="262"/>
      <c r="C10" s="262"/>
      <c r="D10" s="258"/>
      <c r="E10" s="262"/>
      <c r="F10" s="262">
        <f t="shared" si="0"/>
        <v>0</v>
      </c>
      <c r="G10" s="258"/>
      <c r="H10" s="262"/>
      <c r="I10" s="262">
        <f t="shared" si="1"/>
        <v>0</v>
      </c>
      <c r="J10" s="258"/>
    </row>
    <row r="11" s="286" customFormat="1" ht="19.5" customHeight="1" spans="1:10">
      <c r="A11" s="292" t="s">
        <v>1205</v>
      </c>
      <c r="B11" s="262">
        <f>SUM(B12:B16)</f>
        <v>910833.7</v>
      </c>
      <c r="C11" s="262">
        <f>SUM(C12:C16)</f>
        <v>228259.124271</v>
      </c>
      <c r="D11" s="258">
        <f t="shared" si="2"/>
        <v>25.0604610118181</v>
      </c>
      <c r="E11" s="262">
        <f>SUM(E12:E16)</f>
        <v>376020</v>
      </c>
      <c r="F11" s="262">
        <f t="shared" si="0"/>
        <v>-147760.875729</v>
      </c>
      <c r="G11" s="258">
        <f t="shared" si="3"/>
        <v>-39.2960150335089</v>
      </c>
      <c r="H11" s="262">
        <f>SUM(H12:H16)</f>
        <v>239690</v>
      </c>
      <c r="I11" s="262">
        <f t="shared" si="1"/>
        <v>11430.875729</v>
      </c>
      <c r="J11" s="258">
        <f t="shared" si="4"/>
        <v>5.00785051441305</v>
      </c>
    </row>
    <row r="12" s="286" customFormat="1" ht="19.5" customHeight="1" spans="1:10">
      <c r="A12" s="293" t="s">
        <v>1206</v>
      </c>
      <c r="B12" s="260">
        <v>829738</v>
      </c>
      <c r="C12" s="260">
        <f>228383.098397+36398-71517</f>
        <v>193264.098397</v>
      </c>
      <c r="D12" s="258">
        <f t="shared" si="2"/>
        <v>23.2921836045836</v>
      </c>
      <c r="E12" s="260">
        <v>315903</v>
      </c>
      <c r="F12" s="260">
        <f t="shared" si="0"/>
        <v>-122638.901603</v>
      </c>
      <c r="G12" s="258">
        <f t="shared" si="3"/>
        <v>-38.8216957746523</v>
      </c>
      <c r="H12" s="260">
        <f>247804+16000-56300</f>
        <v>207504</v>
      </c>
      <c r="I12" s="260">
        <f t="shared" si="1"/>
        <v>14239.901603</v>
      </c>
      <c r="J12" s="258">
        <f t="shared" si="4"/>
        <v>7.36810495126137</v>
      </c>
    </row>
    <row r="13" s="286" customFormat="1" ht="19.5" customHeight="1" spans="1:10">
      <c r="A13" s="293" t="s">
        <v>1207</v>
      </c>
      <c r="B13" s="260">
        <v>8538.5</v>
      </c>
      <c r="C13" s="260">
        <v>6068.811455</v>
      </c>
      <c r="D13" s="258">
        <f t="shared" si="2"/>
        <v>71.0758500322071</v>
      </c>
      <c r="E13" s="260">
        <v>8695</v>
      </c>
      <c r="F13" s="260">
        <f t="shared" si="0"/>
        <v>-2626.188545</v>
      </c>
      <c r="G13" s="258">
        <f t="shared" si="3"/>
        <v>-30.2034335250144</v>
      </c>
      <c r="H13" s="260">
        <v>5355</v>
      </c>
      <c r="I13" s="260">
        <f t="shared" si="1"/>
        <v>-713.811455</v>
      </c>
      <c r="J13" s="258">
        <f t="shared" si="4"/>
        <v>-11.7619646003651</v>
      </c>
    </row>
    <row r="14" s="286" customFormat="1" ht="19.5" customHeight="1" spans="1:10">
      <c r="A14" s="293" t="s">
        <v>1208</v>
      </c>
      <c r="B14" s="260">
        <v>10356.4</v>
      </c>
      <c r="C14" s="260">
        <v>15291.216</v>
      </c>
      <c r="D14" s="258">
        <f t="shared" si="2"/>
        <v>147.649916959561</v>
      </c>
      <c r="E14" s="260">
        <v>14182</v>
      </c>
      <c r="F14" s="260">
        <f t="shared" si="0"/>
        <v>1109.216</v>
      </c>
      <c r="G14" s="258">
        <f t="shared" si="3"/>
        <v>7.8212945987872</v>
      </c>
      <c r="H14" s="260">
        <v>11763</v>
      </c>
      <c r="I14" s="260">
        <f t="shared" si="1"/>
        <v>-3528.216</v>
      </c>
      <c r="J14" s="258">
        <f t="shared" si="4"/>
        <v>-23.0734821874205</v>
      </c>
    </row>
    <row r="15" s="286" customFormat="1" ht="19.5" customHeight="1" spans="1:10">
      <c r="A15" s="293" t="s">
        <v>1209</v>
      </c>
      <c r="B15" s="260">
        <v>-3000</v>
      </c>
      <c r="C15" s="260">
        <v>-6979.7268</v>
      </c>
      <c r="D15" s="258">
        <f t="shared" si="2"/>
        <v>232.65756</v>
      </c>
      <c r="E15" s="260">
        <v>-4241</v>
      </c>
      <c r="F15" s="260">
        <f t="shared" si="0"/>
        <v>-2738.7268</v>
      </c>
      <c r="G15" s="258">
        <f t="shared" si="3"/>
        <v>64.5773826927611</v>
      </c>
      <c r="H15" s="260">
        <v>-4708</v>
      </c>
      <c r="I15" s="260">
        <f t="shared" si="1"/>
        <v>2271.7268</v>
      </c>
      <c r="J15" s="258">
        <f t="shared" si="4"/>
        <v>-32.5475031486906</v>
      </c>
    </row>
    <row r="16" s="286" customFormat="1" ht="19.5" customHeight="1" spans="1:10">
      <c r="A16" s="293" t="s">
        <v>1210</v>
      </c>
      <c r="B16" s="260">
        <v>65200.8</v>
      </c>
      <c r="C16" s="260">
        <v>20614.725219</v>
      </c>
      <c r="D16" s="258">
        <f t="shared" si="2"/>
        <v>31.6172887740641</v>
      </c>
      <c r="E16" s="260">
        <v>41481</v>
      </c>
      <c r="F16" s="260">
        <f t="shared" si="0"/>
        <v>-20866.274781</v>
      </c>
      <c r="G16" s="258">
        <f t="shared" si="3"/>
        <v>-50.3032105807478</v>
      </c>
      <c r="H16" s="260">
        <v>19776</v>
      </c>
      <c r="I16" s="260">
        <f t="shared" si="1"/>
        <v>-838.725219</v>
      </c>
      <c r="J16" s="258">
        <f t="shared" si="4"/>
        <v>-4.06857336243789</v>
      </c>
    </row>
    <row r="17" s="286" customFormat="1" ht="19.5" customHeight="1" spans="1:10">
      <c r="A17" s="292" t="s">
        <v>1211</v>
      </c>
      <c r="B17" s="262"/>
      <c r="C17" s="262"/>
      <c r="D17" s="258"/>
      <c r="E17" s="262"/>
      <c r="F17" s="262">
        <f t="shared" si="0"/>
        <v>0</v>
      </c>
      <c r="G17" s="258"/>
      <c r="H17" s="262"/>
      <c r="I17" s="262">
        <f t="shared" si="1"/>
        <v>0</v>
      </c>
      <c r="J17" s="258"/>
    </row>
    <row r="18" s="286" customFormat="1" ht="19.5" customHeight="1" spans="1:10">
      <c r="A18" s="292" t="s">
        <v>1212</v>
      </c>
      <c r="B18" s="262"/>
      <c r="C18" s="262"/>
      <c r="D18" s="258"/>
      <c r="E18" s="299"/>
      <c r="F18" s="262">
        <f t="shared" si="0"/>
        <v>0</v>
      </c>
      <c r="G18" s="258"/>
      <c r="H18" s="262"/>
      <c r="I18" s="262">
        <f t="shared" si="1"/>
        <v>0</v>
      </c>
      <c r="J18" s="258"/>
    </row>
    <row r="19" s="286" customFormat="1" ht="19.5" customHeight="1" spans="1:10">
      <c r="A19" s="293" t="s">
        <v>1213</v>
      </c>
      <c r="B19" s="260"/>
      <c r="C19" s="260"/>
      <c r="D19" s="258"/>
      <c r="E19" s="300"/>
      <c r="F19" s="260">
        <f t="shared" si="0"/>
        <v>0</v>
      </c>
      <c r="G19" s="258"/>
      <c r="H19" s="260"/>
      <c r="I19" s="260">
        <f t="shared" si="1"/>
        <v>0</v>
      </c>
      <c r="J19" s="258"/>
    </row>
    <row r="20" s="286" customFormat="1" ht="19.5" customHeight="1" spans="1:10">
      <c r="A20" s="293" t="s">
        <v>1214</v>
      </c>
      <c r="B20" s="260"/>
      <c r="C20" s="260"/>
      <c r="D20" s="258"/>
      <c r="E20" s="301"/>
      <c r="F20" s="260">
        <f t="shared" si="0"/>
        <v>0</v>
      </c>
      <c r="G20" s="258"/>
      <c r="H20" s="260"/>
      <c r="I20" s="260">
        <f t="shared" si="1"/>
        <v>0</v>
      </c>
      <c r="J20" s="258"/>
    </row>
    <row r="21" s="286" customFormat="1" ht="19.5" customHeight="1" spans="1:10">
      <c r="A21" s="292" t="s">
        <v>1215</v>
      </c>
      <c r="B21" s="262">
        <v>14454.44</v>
      </c>
      <c r="C21" s="262">
        <v>13033</v>
      </c>
      <c r="D21" s="258">
        <f>C21/B21*100</f>
        <v>90.1660666203602</v>
      </c>
      <c r="E21" s="262">
        <v>10308</v>
      </c>
      <c r="F21" s="262">
        <f t="shared" si="0"/>
        <v>2725</v>
      </c>
      <c r="G21" s="258">
        <f>F21/E21*100</f>
        <v>26.4357780364765</v>
      </c>
      <c r="H21" s="262">
        <v>14756</v>
      </c>
      <c r="I21" s="262">
        <f t="shared" si="1"/>
        <v>1723</v>
      </c>
      <c r="J21" s="258">
        <f>I21/C21*100</f>
        <v>13.220286963861</v>
      </c>
    </row>
    <row r="22" s="286" customFormat="1" ht="19.5" customHeight="1" spans="1:10">
      <c r="A22" s="292" t="s">
        <v>1216</v>
      </c>
      <c r="B22" s="262"/>
      <c r="C22" s="262"/>
      <c r="D22" s="258"/>
      <c r="E22" s="262"/>
      <c r="F22" s="262">
        <f t="shared" si="0"/>
        <v>0</v>
      </c>
      <c r="G22" s="258"/>
      <c r="H22" s="262"/>
      <c r="I22" s="262">
        <f t="shared" si="1"/>
        <v>0</v>
      </c>
      <c r="J22" s="258"/>
    </row>
    <row r="23" s="286" customFormat="1" ht="19.5" customHeight="1" spans="1:10">
      <c r="A23" s="292" t="s">
        <v>1217</v>
      </c>
      <c r="B23" s="262"/>
      <c r="C23" s="262"/>
      <c r="D23" s="258"/>
      <c r="E23" s="262"/>
      <c r="F23" s="262">
        <f t="shared" si="0"/>
        <v>0</v>
      </c>
      <c r="G23" s="258"/>
      <c r="H23" s="262"/>
      <c r="I23" s="262">
        <f t="shared" si="1"/>
        <v>0</v>
      </c>
      <c r="J23" s="258"/>
    </row>
    <row r="24" s="286" customFormat="1" ht="19.5" customHeight="1" spans="1:10">
      <c r="A24" s="292" t="s">
        <v>1218</v>
      </c>
      <c r="B24" s="262"/>
      <c r="C24" s="262"/>
      <c r="D24" s="258"/>
      <c r="E24" s="262"/>
      <c r="F24" s="262">
        <f t="shared" si="0"/>
        <v>0</v>
      </c>
      <c r="G24" s="258"/>
      <c r="H24" s="262"/>
      <c r="I24" s="262">
        <f t="shared" si="1"/>
        <v>0</v>
      </c>
      <c r="J24" s="258"/>
    </row>
    <row r="25" s="286" customFormat="1" ht="19.5" customHeight="1" spans="1:10">
      <c r="A25" s="292" t="s">
        <v>1219</v>
      </c>
      <c r="B25" s="262">
        <v>7400</v>
      </c>
      <c r="C25" s="262">
        <v>7659</v>
      </c>
      <c r="D25" s="258">
        <f t="shared" ref="D25:D31" si="5">C25/B25*100</f>
        <v>103.5</v>
      </c>
      <c r="E25" s="262">
        <v>6778</v>
      </c>
      <c r="F25" s="262">
        <f t="shared" si="0"/>
        <v>881</v>
      </c>
      <c r="G25" s="258">
        <f t="shared" ref="G25:G31" si="6">F25/E25*100</f>
        <v>12.997934493951</v>
      </c>
      <c r="H25" s="262">
        <v>8100</v>
      </c>
      <c r="I25" s="262">
        <f t="shared" si="1"/>
        <v>441</v>
      </c>
      <c r="J25" s="258">
        <f t="shared" ref="J25:J32" si="7">I25/C25*100</f>
        <v>5.75793184488837</v>
      </c>
    </row>
    <row r="26" s="286" customFormat="1" ht="19.5" customHeight="1" spans="1:10">
      <c r="A26" s="292" t="s">
        <v>1220</v>
      </c>
      <c r="B26" s="262"/>
      <c r="C26" s="262"/>
      <c r="D26" s="258"/>
      <c r="E26" s="262"/>
      <c r="F26" s="262">
        <f t="shared" si="0"/>
        <v>0</v>
      </c>
      <c r="G26" s="258"/>
      <c r="H26" s="262"/>
      <c r="I26" s="262">
        <f t="shared" si="1"/>
        <v>0</v>
      </c>
      <c r="J26" s="258"/>
    </row>
    <row r="27" s="286" customFormat="1" ht="19.5" customHeight="1" spans="1:10">
      <c r="A27" s="292" t="s">
        <v>1221</v>
      </c>
      <c r="B27" s="262"/>
      <c r="C27" s="262"/>
      <c r="D27" s="258"/>
      <c r="E27" s="262">
        <v>175</v>
      </c>
      <c r="F27" s="262">
        <f t="shared" si="0"/>
        <v>-175</v>
      </c>
      <c r="G27" s="258"/>
      <c r="H27" s="262"/>
      <c r="I27" s="262">
        <f t="shared" si="1"/>
        <v>0</v>
      </c>
      <c r="J27" s="258"/>
    </row>
    <row r="28" s="286" customFormat="1" ht="19.5" customHeight="1" spans="1:10">
      <c r="A28" s="292" t="s">
        <v>1222</v>
      </c>
      <c r="B28" s="262">
        <f>B29+B33+B34+B35+B36+B37+B38</f>
        <v>147808.9509</v>
      </c>
      <c r="C28" s="262">
        <f>C29+C33+C34+C35+C36+C37+C38</f>
        <v>179050.906085</v>
      </c>
      <c r="D28" s="258">
        <f t="shared" si="5"/>
        <v>121.136713977584</v>
      </c>
      <c r="E28" s="262">
        <f>E29+E33+E34+E35+E36+E37+E38</f>
        <v>87615</v>
      </c>
      <c r="F28" s="262">
        <f t="shared" si="0"/>
        <v>91435.906085</v>
      </c>
      <c r="G28" s="258">
        <f t="shared" si="6"/>
        <v>104.361018187525</v>
      </c>
      <c r="H28" s="262">
        <f>H29+H33+H34+H35+H36+H37+H38</f>
        <v>189517</v>
      </c>
      <c r="I28" s="262">
        <f t="shared" si="1"/>
        <v>10466.093915</v>
      </c>
      <c r="J28" s="258">
        <f t="shared" si="7"/>
        <v>5.84531748196319</v>
      </c>
    </row>
    <row r="29" s="286" customFormat="1" ht="19.5" customHeight="1" spans="1:10">
      <c r="A29" s="293" t="s">
        <v>1223</v>
      </c>
      <c r="B29" s="260">
        <f>SUM(B30:B32)</f>
        <v>10060.8037</v>
      </c>
      <c r="C29" s="260">
        <f>SUM(C30:C32)</f>
        <v>30784</v>
      </c>
      <c r="D29" s="258">
        <f t="shared" si="5"/>
        <v>305.979531237649</v>
      </c>
      <c r="E29" s="260">
        <f>SUM(E30:E32)</f>
        <v>16621</v>
      </c>
      <c r="F29" s="260">
        <f t="shared" si="0"/>
        <v>14163</v>
      </c>
      <c r="G29" s="258">
        <f t="shared" si="6"/>
        <v>85.2114794537031</v>
      </c>
      <c r="H29" s="260">
        <f>SUM(H30:H32)</f>
        <v>33926</v>
      </c>
      <c r="I29" s="260">
        <f t="shared" si="1"/>
        <v>3142</v>
      </c>
      <c r="J29" s="258">
        <f t="shared" si="7"/>
        <v>10.2066008316008</v>
      </c>
    </row>
    <row r="30" s="286" customFormat="1" ht="19.5" customHeight="1" spans="1:10">
      <c r="A30" s="293" t="s">
        <v>1224</v>
      </c>
      <c r="B30" s="260">
        <v>3871.5052</v>
      </c>
      <c r="C30" s="260">
        <v>20973</v>
      </c>
      <c r="D30" s="258">
        <f t="shared" si="5"/>
        <v>541.727284778024</v>
      </c>
      <c r="E30" s="260">
        <v>3842</v>
      </c>
      <c r="F30" s="260">
        <f t="shared" si="0"/>
        <v>17131</v>
      </c>
      <c r="G30" s="258">
        <f t="shared" si="6"/>
        <v>445.887558563248</v>
      </c>
      <c r="H30" s="260">
        <v>21480</v>
      </c>
      <c r="I30" s="260">
        <f t="shared" si="1"/>
        <v>507</v>
      </c>
      <c r="J30" s="258">
        <f t="shared" si="7"/>
        <v>2.41739379201831</v>
      </c>
    </row>
    <row r="31" s="286" customFormat="1" ht="19.5" customHeight="1" spans="1:10">
      <c r="A31" s="293" t="s">
        <v>1225</v>
      </c>
      <c r="B31" s="260">
        <v>4344.2985</v>
      </c>
      <c r="C31" s="260">
        <v>7527.346693</v>
      </c>
      <c r="D31" s="258">
        <f t="shared" si="5"/>
        <v>173.269555326366</v>
      </c>
      <c r="E31" s="260">
        <v>9118</v>
      </c>
      <c r="F31" s="260">
        <f t="shared" si="0"/>
        <v>-1590.653307</v>
      </c>
      <c r="G31" s="258">
        <f t="shared" si="6"/>
        <v>-17.4451996819478</v>
      </c>
      <c r="H31" s="260">
        <v>7494</v>
      </c>
      <c r="I31" s="260">
        <f t="shared" si="1"/>
        <v>-33.3466930000004</v>
      </c>
      <c r="J31" s="258">
        <f t="shared" si="7"/>
        <v>-0.443007268829678</v>
      </c>
    </row>
    <row r="32" s="286" customFormat="1" ht="19.5" customHeight="1" spans="1:10">
      <c r="A32" s="293" t="s">
        <v>1226</v>
      </c>
      <c r="B32" s="260">
        <v>1845</v>
      </c>
      <c r="C32" s="260">
        <v>2283.653307</v>
      </c>
      <c r="D32" s="258"/>
      <c r="E32" s="260">
        <v>3661</v>
      </c>
      <c r="F32" s="260">
        <f t="shared" si="0"/>
        <v>-1377.346693</v>
      </c>
      <c r="G32" s="258"/>
      <c r="H32" s="260">
        <v>4952</v>
      </c>
      <c r="I32" s="260">
        <f t="shared" si="1"/>
        <v>2668.346693</v>
      </c>
      <c r="J32" s="258">
        <f t="shared" si="7"/>
        <v>116.845524879841</v>
      </c>
    </row>
    <row r="33" s="286" customFormat="1" ht="19.5" customHeight="1" spans="1:10">
      <c r="A33" s="293" t="s">
        <v>1227</v>
      </c>
      <c r="B33" s="294"/>
      <c r="C33" s="260">
        <v>0</v>
      </c>
      <c r="D33" s="258"/>
      <c r="E33" s="260"/>
      <c r="F33" s="260">
        <f t="shared" si="0"/>
        <v>0</v>
      </c>
      <c r="G33" s="258"/>
      <c r="H33" s="260">
        <v>0</v>
      </c>
      <c r="I33" s="260">
        <f t="shared" si="1"/>
        <v>0</v>
      </c>
      <c r="J33" s="258"/>
    </row>
    <row r="34" s="286" customFormat="1" ht="19.5" customHeight="1" spans="1:10">
      <c r="A34" s="293" t="s">
        <v>1228</v>
      </c>
      <c r="B34" s="294"/>
      <c r="C34" s="260">
        <v>0</v>
      </c>
      <c r="D34" s="258"/>
      <c r="E34" s="260"/>
      <c r="F34" s="260">
        <f t="shared" si="0"/>
        <v>0</v>
      </c>
      <c r="G34" s="258"/>
      <c r="H34" s="260">
        <v>0</v>
      </c>
      <c r="I34" s="260">
        <f t="shared" si="1"/>
        <v>0</v>
      </c>
      <c r="J34" s="258"/>
    </row>
    <row r="35" s="286" customFormat="1" ht="19.5" customHeight="1" spans="1:10">
      <c r="A35" s="293" t="s">
        <v>1229</v>
      </c>
      <c r="B35" s="260"/>
      <c r="C35" s="260">
        <v>0</v>
      </c>
      <c r="D35" s="258"/>
      <c r="E35" s="260"/>
      <c r="F35" s="260">
        <f t="shared" si="0"/>
        <v>0</v>
      </c>
      <c r="G35" s="258"/>
      <c r="H35" s="260">
        <v>0</v>
      </c>
      <c r="I35" s="260">
        <f t="shared" si="1"/>
        <v>0</v>
      </c>
      <c r="J35" s="258"/>
    </row>
    <row r="36" s="286" customFormat="1" ht="19.5" customHeight="1" spans="1:10">
      <c r="A36" s="293" t="s">
        <v>1230</v>
      </c>
      <c r="B36" s="260"/>
      <c r="C36" s="260">
        <v>0</v>
      </c>
      <c r="D36" s="258"/>
      <c r="E36" s="260"/>
      <c r="F36" s="260">
        <f t="shared" si="0"/>
        <v>0</v>
      </c>
      <c r="G36" s="258"/>
      <c r="H36" s="260">
        <v>0</v>
      </c>
      <c r="I36" s="260">
        <f t="shared" si="1"/>
        <v>0</v>
      </c>
      <c r="J36" s="258"/>
    </row>
    <row r="37" s="286" customFormat="1" ht="19.5" customHeight="1" spans="1:10">
      <c r="A37" s="293" t="s">
        <v>1231</v>
      </c>
      <c r="B37" s="260"/>
      <c r="C37" s="260">
        <v>0</v>
      </c>
      <c r="D37" s="258"/>
      <c r="E37" s="260"/>
      <c r="F37" s="260">
        <f t="shared" si="0"/>
        <v>0</v>
      </c>
      <c r="G37" s="258"/>
      <c r="H37" s="260">
        <v>0</v>
      </c>
      <c r="I37" s="260">
        <f t="shared" si="1"/>
        <v>0</v>
      </c>
      <c r="J37" s="258"/>
    </row>
    <row r="38" s="286" customFormat="1" ht="19.5" customHeight="1" spans="1:10">
      <c r="A38" s="293" t="s">
        <v>1232</v>
      </c>
      <c r="B38" s="260">
        <f>SUM(B39:B40)</f>
        <v>137748.1472</v>
      </c>
      <c r="C38" s="260">
        <f>SUM(C39:C40)</f>
        <v>148266.906085</v>
      </c>
      <c r="D38" s="258">
        <f t="shared" ref="D38:D41" si="8">C38/B38*100</f>
        <v>107.636225313236</v>
      </c>
      <c r="E38" s="260">
        <f>SUM(E39:E40)</f>
        <v>70994</v>
      </c>
      <c r="F38" s="260">
        <f t="shared" si="0"/>
        <v>77272.906085</v>
      </c>
      <c r="G38" s="258">
        <f t="shared" ref="G38:G41" si="9">F38/E38*100</f>
        <v>108.844277100882</v>
      </c>
      <c r="H38" s="260">
        <f>SUM(H39:H40)</f>
        <v>155591</v>
      </c>
      <c r="I38" s="260">
        <f t="shared" si="1"/>
        <v>7324.093915</v>
      </c>
      <c r="J38" s="258">
        <f t="shared" ref="J38:J41" si="10">I38/C38*100</f>
        <v>4.93980356668478</v>
      </c>
    </row>
    <row r="39" s="286" customFormat="1" ht="19.5" customHeight="1" spans="1:10">
      <c r="A39" s="293" t="s">
        <v>1233</v>
      </c>
      <c r="B39" s="260">
        <f>55007.1472+500</f>
        <v>55507.1472</v>
      </c>
      <c r="C39" s="260">
        <f>139313.906085-17927</f>
        <v>121386.906085</v>
      </c>
      <c r="D39" s="258">
        <f t="shared" si="8"/>
        <v>218.686983943934</v>
      </c>
      <c r="E39" s="260">
        <v>70994</v>
      </c>
      <c r="F39" s="260">
        <f t="shared" si="0"/>
        <v>50392.906085</v>
      </c>
      <c r="G39" s="258">
        <f t="shared" si="9"/>
        <v>70.9819225357072</v>
      </c>
      <c r="H39" s="260">
        <f>90346+39300</f>
        <v>129646</v>
      </c>
      <c r="I39" s="260">
        <f t="shared" si="1"/>
        <v>8259.093915</v>
      </c>
      <c r="J39" s="258">
        <f t="shared" si="10"/>
        <v>6.80394136515569</v>
      </c>
    </row>
    <row r="40" s="286" customFormat="1" ht="19.5" customHeight="1" spans="1:10">
      <c r="A40" s="293" t="s">
        <v>1234</v>
      </c>
      <c r="B40" s="260">
        <v>82241</v>
      </c>
      <c r="C40" s="260">
        <v>26880</v>
      </c>
      <c r="D40" s="258"/>
      <c r="E40" s="260"/>
      <c r="F40" s="260">
        <f t="shared" si="0"/>
        <v>26880</v>
      </c>
      <c r="G40" s="258"/>
      <c r="H40" s="260">
        <v>25945</v>
      </c>
      <c r="I40" s="260">
        <f t="shared" si="1"/>
        <v>-935</v>
      </c>
      <c r="J40" s="258">
        <f t="shared" si="10"/>
        <v>-3.47842261904762</v>
      </c>
    </row>
    <row r="41" s="286" customFormat="1" ht="19.5" customHeight="1" spans="1:10">
      <c r="A41" s="295" t="s">
        <v>1235</v>
      </c>
      <c r="B41" s="262">
        <f>B7+B8+B9+B10+B11+B17+B18+B21+B22+B23+B24+B25+B26+B27+B28</f>
        <v>1080557.0909</v>
      </c>
      <c r="C41" s="262">
        <f>C7+C8+C9+C10+C11+C17+C18+C21+C22+C23+C24+C25+C26+C27+C28</f>
        <v>428006.030356</v>
      </c>
      <c r="D41" s="258">
        <f t="shared" si="8"/>
        <v>39.6097562970516</v>
      </c>
      <c r="E41" s="262">
        <f>E7+E8+E9+E10+E11+E17+E18+E21+E22+E23+E24+E25+E26+E27+E28</f>
        <v>480903</v>
      </c>
      <c r="F41" s="262">
        <f t="shared" si="0"/>
        <v>-52896.9696440001</v>
      </c>
      <c r="G41" s="258">
        <f t="shared" si="9"/>
        <v>-10.9995091825171</v>
      </c>
      <c r="H41" s="262">
        <f>H7+H8+H9+H10+H11+H17+H18+H21+H22+H23+H24+H25+H26+H27+H28</f>
        <v>452063</v>
      </c>
      <c r="I41" s="262">
        <f t="shared" si="1"/>
        <v>24056.969644</v>
      </c>
      <c r="J41" s="258">
        <f t="shared" si="10"/>
        <v>5.62070810637651</v>
      </c>
    </row>
    <row r="42" s="286" customFormat="1" ht="19.5" customHeight="1" spans="1:10">
      <c r="A42" s="295" t="s">
        <v>71</v>
      </c>
      <c r="B42" s="262">
        <f>B43+B44+B45+B46+B47</f>
        <v>552807</v>
      </c>
      <c r="C42" s="262">
        <f>C43+C44+C45+C46+C47</f>
        <v>2014798</v>
      </c>
      <c r="D42" s="260"/>
      <c r="E42" s="260"/>
      <c r="F42" s="260"/>
      <c r="G42" s="260"/>
      <c r="H42" s="262">
        <f>H43+H44+H45+H46+H47</f>
        <v>541414</v>
      </c>
      <c r="I42" s="260"/>
      <c r="J42" s="260"/>
    </row>
    <row r="43" ht="19.5" customHeight="1" spans="1:11">
      <c r="A43" s="180" t="s">
        <v>1236</v>
      </c>
      <c r="B43" s="260">
        <f>88090-6897</f>
        <v>81193</v>
      </c>
      <c r="C43" s="260">
        <f>186249</f>
        <v>186249</v>
      </c>
      <c r="D43" s="260"/>
      <c r="E43" s="260"/>
      <c r="F43" s="260"/>
      <c r="G43" s="260"/>
      <c r="H43" s="260">
        <f>85903</f>
        <v>85903</v>
      </c>
      <c r="I43" s="260"/>
      <c r="J43" s="260"/>
      <c r="K43" s="286"/>
    </row>
    <row r="44" ht="19.5" customHeight="1" spans="1:11">
      <c r="A44" s="180" t="s">
        <v>137</v>
      </c>
      <c r="B44" s="260"/>
      <c r="C44" s="260"/>
      <c r="D44" s="260"/>
      <c r="E44" s="260"/>
      <c r="F44" s="260"/>
      <c r="G44" s="260"/>
      <c r="H44" s="260"/>
      <c r="I44" s="260"/>
      <c r="J44" s="260"/>
      <c r="K44" s="286"/>
    </row>
    <row r="45" ht="19.5" customHeight="1" spans="1:11">
      <c r="A45" s="180" t="s">
        <v>138</v>
      </c>
      <c r="B45" s="260">
        <v>389914</v>
      </c>
      <c r="C45" s="260">
        <v>394003</v>
      </c>
      <c r="D45" s="260"/>
      <c r="E45" s="260"/>
      <c r="F45" s="260"/>
      <c r="G45" s="260"/>
      <c r="H45" s="260">
        <f>116581+278182-16000-81252-180000</f>
        <v>117511</v>
      </c>
      <c r="I45" s="260"/>
      <c r="J45" s="260"/>
      <c r="K45" s="286"/>
    </row>
    <row r="46" ht="19.5" customHeight="1" spans="1:11">
      <c r="A46" s="180" t="s">
        <v>140</v>
      </c>
      <c r="B46" s="260"/>
      <c r="C46" s="260"/>
      <c r="D46" s="260"/>
      <c r="E46" s="260"/>
      <c r="F46" s="260"/>
      <c r="G46" s="260"/>
      <c r="H46" s="260"/>
      <c r="I46" s="260"/>
      <c r="J46" s="260"/>
      <c r="K46" s="286"/>
    </row>
    <row r="47" ht="19.5" customHeight="1" spans="1:11">
      <c r="A47" s="180" t="s">
        <v>144</v>
      </c>
      <c r="B47" s="260">
        <f>B48</f>
        <v>81700</v>
      </c>
      <c r="C47" s="260">
        <f>C48</f>
        <v>1434546</v>
      </c>
      <c r="D47" s="260"/>
      <c r="E47" s="260"/>
      <c r="F47" s="260"/>
      <c r="G47" s="260"/>
      <c r="H47" s="260">
        <f>H48</f>
        <v>338000</v>
      </c>
      <c r="I47" s="260"/>
      <c r="J47" s="260"/>
      <c r="K47" s="286"/>
    </row>
    <row r="48" ht="19.5" customHeight="1" spans="1:11">
      <c r="A48" s="180" t="s">
        <v>1237</v>
      </c>
      <c r="B48" s="260">
        <v>81700</v>
      </c>
      <c r="C48" s="260">
        <f>518764+552220+363562</f>
        <v>1434546</v>
      </c>
      <c r="D48" s="260"/>
      <c r="E48" s="260"/>
      <c r="F48" s="260"/>
      <c r="G48" s="260"/>
      <c r="H48" s="260">
        <v>338000</v>
      </c>
      <c r="I48" s="260"/>
      <c r="J48" s="260"/>
      <c r="K48" s="286"/>
    </row>
    <row r="49" s="286" customFormat="1" ht="19.5" customHeight="1" spans="1:10">
      <c r="A49" s="295" t="s">
        <v>1238</v>
      </c>
      <c r="B49" s="262">
        <f>B41+B42</f>
        <v>1633364.0909</v>
      </c>
      <c r="C49" s="262">
        <f>C41+C42</f>
        <v>2442804.030356</v>
      </c>
      <c r="D49" s="260"/>
      <c r="E49" s="260"/>
      <c r="F49" s="260"/>
      <c r="G49" s="260"/>
      <c r="H49" s="262">
        <f>H41+H42</f>
        <v>993477</v>
      </c>
      <c r="I49" s="260"/>
      <c r="J49" s="260"/>
    </row>
    <row r="50" spans="11:11">
      <c r="K50" s="286"/>
    </row>
    <row r="52" spans="8:8">
      <c r="H52" s="296"/>
    </row>
    <row r="54" spans="3:3">
      <c r="C54" s="296"/>
    </row>
    <row r="169" spans="1:1">
      <c r="A169" s="285"/>
    </row>
  </sheetData>
  <mergeCells count="11">
    <mergeCell ref="A2:J2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629166666666667" right="0.786805555555556" top="0.786805555555556" bottom="0.786805555555556" header="0.313888888888889" footer="0.313888888888889"/>
  <pageSetup paperSize="9" scale="82" fitToHeight="0" orientation="landscape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9"/>
  <sheetViews>
    <sheetView showZeros="0" view="pageBreakPreview" zoomScaleNormal="100" zoomScaleSheetLayoutView="100" workbookViewId="0">
      <pane xSplit="1" ySplit="6" topLeftCell="B27" activePane="bottomRight" state="frozen"/>
      <selection/>
      <selection pane="topRight"/>
      <selection pane="bottomLeft"/>
      <selection pane="bottomRight" activeCell="C36" sqref="C36"/>
    </sheetView>
  </sheetViews>
  <sheetFormatPr defaultColWidth="9" defaultRowHeight="14.25"/>
  <cols>
    <col min="1" max="1" width="57.25" style="287" customWidth="1"/>
    <col min="2" max="2" width="12.75" style="287" customWidth="1"/>
    <col min="3" max="3" width="13.25" style="287" customWidth="1"/>
    <col min="4" max="4" width="8.5" style="287" customWidth="1"/>
    <col min="5" max="5" width="11.25" style="287" hidden="1" customWidth="1"/>
    <col min="6" max="6" width="11.5833333333333" style="287" customWidth="1"/>
    <col min="7" max="7" width="9.5" style="287" customWidth="1"/>
    <col min="8" max="8" width="13.75" style="287" customWidth="1"/>
    <col min="9" max="10" width="11.5833333333333" style="287" customWidth="1"/>
    <col min="11" max="11" width="9.25" style="287"/>
    <col min="12" max="12" width="15.3333333333333" style="287"/>
    <col min="13" max="16384" width="9" style="287"/>
  </cols>
  <sheetData>
    <row r="1" ht="18" customHeight="1" spans="1:9">
      <c r="A1" s="122" t="s">
        <v>1239</v>
      </c>
      <c r="B1" s="168"/>
      <c r="C1" s="165"/>
      <c r="D1" s="165"/>
      <c r="E1" s="165"/>
      <c r="F1" s="165"/>
      <c r="G1" s="168"/>
      <c r="H1" s="165"/>
      <c r="I1" s="165"/>
    </row>
    <row r="2" ht="25.5" customHeight="1" spans="1:10">
      <c r="A2" s="248" t="s">
        <v>1240</v>
      </c>
      <c r="B2" s="248"/>
      <c r="C2" s="248"/>
      <c r="D2" s="248"/>
      <c r="E2" s="248"/>
      <c r="F2" s="248"/>
      <c r="G2" s="248"/>
      <c r="H2" s="248"/>
      <c r="I2" s="248"/>
      <c r="J2" s="248"/>
    </row>
    <row r="3" ht="18" customHeight="1" spans="1:10">
      <c r="A3" s="246"/>
      <c r="B3" s="246"/>
      <c r="C3" s="246"/>
      <c r="D3" s="246"/>
      <c r="E3" s="246"/>
      <c r="F3" s="246"/>
      <c r="G3" s="246"/>
      <c r="H3" s="246"/>
      <c r="I3" s="246"/>
      <c r="J3" s="268" t="s">
        <v>1055</v>
      </c>
    </row>
    <row r="4" s="285" customFormat="1" ht="18" customHeight="1" spans="1:10">
      <c r="A4" s="288" t="s">
        <v>1196</v>
      </c>
      <c r="B4" s="250" t="s">
        <v>1197</v>
      </c>
      <c r="C4" s="250"/>
      <c r="D4" s="250"/>
      <c r="E4" s="250"/>
      <c r="F4" s="250"/>
      <c r="G4" s="250"/>
      <c r="H4" s="249" t="s">
        <v>36</v>
      </c>
      <c r="I4" s="249"/>
      <c r="J4" s="249"/>
    </row>
    <row r="5" s="285" customFormat="1" ht="18" customHeight="1" spans="1:10">
      <c r="A5" s="289"/>
      <c r="B5" s="150" t="s">
        <v>1198</v>
      </c>
      <c r="C5" s="288" t="s">
        <v>38</v>
      </c>
      <c r="D5" s="266" t="s">
        <v>39</v>
      </c>
      <c r="E5" s="266" t="s">
        <v>1199</v>
      </c>
      <c r="F5" s="297" t="s">
        <v>1200</v>
      </c>
      <c r="G5" s="298"/>
      <c r="H5" s="249" t="s">
        <v>42</v>
      </c>
      <c r="I5" s="249" t="s">
        <v>43</v>
      </c>
      <c r="J5" s="249"/>
    </row>
    <row r="6" s="285" customFormat="1" ht="18" customHeight="1" spans="1:10">
      <c r="A6" s="290"/>
      <c r="B6" s="150"/>
      <c r="C6" s="290"/>
      <c r="D6" s="267"/>
      <c r="E6" s="267"/>
      <c r="F6" s="250" t="s">
        <v>44</v>
      </c>
      <c r="G6" s="250" t="s">
        <v>45</v>
      </c>
      <c r="H6" s="249"/>
      <c r="I6" s="249" t="s">
        <v>44</v>
      </c>
      <c r="J6" s="249" t="s">
        <v>45</v>
      </c>
    </row>
    <row r="7" s="286" customFormat="1" ht="19.5" customHeight="1" spans="1:10">
      <c r="A7" s="291" t="s">
        <v>1201</v>
      </c>
      <c r="B7" s="262"/>
      <c r="C7" s="262"/>
      <c r="D7" s="258"/>
      <c r="E7" s="299"/>
      <c r="F7" s="262">
        <f t="shared" ref="F7:F41" si="0">C7-E7</f>
        <v>0</v>
      </c>
      <c r="G7" s="258"/>
      <c r="H7" s="262"/>
      <c r="I7" s="262">
        <f t="shared" ref="I7:I41" si="1">H7-C7</f>
        <v>0</v>
      </c>
      <c r="J7" s="258"/>
    </row>
    <row r="8" s="286" customFormat="1" ht="19.5" customHeight="1" spans="1:10">
      <c r="A8" s="292" t="s">
        <v>1202</v>
      </c>
      <c r="B8" s="262"/>
      <c r="C8" s="262"/>
      <c r="D8" s="258"/>
      <c r="E8" s="299"/>
      <c r="F8" s="262">
        <f t="shared" si="0"/>
        <v>0</v>
      </c>
      <c r="G8" s="258"/>
      <c r="H8" s="262"/>
      <c r="I8" s="262">
        <f t="shared" si="1"/>
        <v>0</v>
      </c>
      <c r="J8" s="258"/>
    </row>
    <row r="9" s="286" customFormat="1" ht="19.5" customHeight="1" spans="1:10">
      <c r="A9" s="292" t="s">
        <v>1203</v>
      </c>
      <c r="B9" s="262"/>
      <c r="C9" s="262"/>
      <c r="D9" s="258"/>
      <c r="E9" s="262"/>
      <c r="F9" s="262"/>
      <c r="G9" s="258"/>
      <c r="H9" s="262"/>
      <c r="I9" s="262"/>
      <c r="J9" s="258"/>
    </row>
    <row r="10" s="286" customFormat="1" ht="19.5" customHeight="1" spans="1:10">
      <c r="A10" s="292" t="s">
        <v>1204</v>
      </c>
      <c r="B10" s="262"/>
      <c r="C10" s="262"/>
      <c r="D10" s="258"/>
      <c r="E10" s="262"/>
      <c r="F10" s="262"/>
      <c r="G10" s="258"/>
      <c r="H10" s="262"/>
      <c r="I10" s="262"/>
      <c r="J10" s="258"/>
    </row>
    <row r="11" s="286" customFormat="1" ht="19.5" customHeight="1" spans="1:10">
      <c r="A11" s="292" t="s">
        <v>1205</v>
      </c>
      <c r="B11" s="262">
        <f>SUM(B12:B16)</f>
        <v>309000</v>
      </c>
      <c r="C11" s="262">
        <f>SUM(C12:C16)</f>
        <v>52689.263071</v>
      </c>
      <c r="D11" s="258">
        <f>C11/B11*100</f>
        <v>17.0515414469256</v>
      </c>
      <c r="E11" s="262">
        <f>SUM(E12:E16)</f>
        <v>155539</v>
      </c>
      <c r="F11" s="262">
        <f t="shared" si="0"/>
        <v>-102849.736929</v>
      </c>
      <c r="G11" s="258">
        <f t="shared" ref="G9:G16" si="2">F11/E11*100</f>
        <v>-66.1247255858659</v>
      </c>
      <c r="H11" s="262">
        <f>SUM(H12:H16)</f>
        <v>98400</v>
      </c>
      <c r="I11" s="262">
        <f t="shared" si="1"/>
        <v>45710.736929</v>
      </c>
      <c r="J11" s="258">
        <f t="shared" ref="J9:J16" si="3">I11/C11*100</f>
        <v>86.7553164814693</v>
      </c>
    </row>
    <row r="12" s="286" customFormat="1" ht="19.5" customHeight="1" spans="1:10">
      <c r="A12" s="293" t="s">
        <v>1206</v>
      </c>
      <c r="B12" s="260">
        <v>309000</v>
      </c>
      <c r="C12" s="260">
        <f>29264.237197+20710+689</f>
        <v>50663.237197</v>
      </c>
      <c r="D12" s="258">
        <f>C12/B12*100</f>
        <v>16.3958696430421</v>
      </c>
      <c r="E12" s="260">
        <v>129511</v>
      </c>
      <c r="F12" s="260">
        <f t="shared" si="0"/>
        <v>-78847.762803</v>
      </c>
      <c r="G12" s="258">
        <f t="shared" si="2"/>
        <v>-60.8811319524982</v>
      </c>
      <c r="H12" s="260">
        <f>90000+8400</f>
        <v>98400</v>
      </c>
      <c r="I12" s="260">
        <f t="shared" si="1"/>
        <v>47736.762803</v>
      </c>
      <c r="J12" s="258">
        <f t="shared" si="3"/>
        <v>94.2236727143577</v>
      </c>
    </row>
    <row r="13" s="286" customFormat="1" ht="19.5" customHeight="1" spans="1:10">
      <c r="A13" s="293" t="s">
        <v>1207</v>
      </c>
      <c r="B13" s="260"/>
      <c r="C13" s="260">
        <v>841.811455</v>
      </c>
      <c r="D13" s="258"/>
      <c r="E13" s="260">
        <v>1044</v>
      </c>
      <c r="F13" s="260">
        <f t="shared" si="0"/>
        <v>-202.188545</v>
      </c>
      <c r="G13" s="258">
        <f t="shared" si="2"/>
        <v>-19.3667188697318</v>
      </c>
      <c r="H13" s="260"/>
      <c r="I13" s="260">
        <f t="shared" si="1"/>
        <v>-841.811455</v>
      </c>
      <c r="J13" s="258">
        <f t="shared" si="3"/>
        <v>-100</v>
      </c>
    </row>
    <row r="14" s="286" customFormat="1" ht="19.5" customHeight="1" spans="1:10">
      <c r="A14" s="293" t="s">
        <v>1208</v>
      </c>
      <c r="B14" s="260"/>
      <c r="C14" s="260">
        <v>1366.216</v>
      </c>
      <c r="D14" s="258"/>
      <c r="E14" s="260">
        <v>5314</v>
      </c>
      <c r="F14" s="260">
        <f t="shared" si="0"/>
        <v>-3947.784</v>
      </c>
      <c r="G14" s="258">
        <f t="shared" si="2"/>
        <v>-74.2902521640949</v>
      </c>
      <c r="H14" s="260"/>
      <c r="I14" s="260">
        <f t="shared" si="1"/>
        <v>-1366.216</v>
      </c>
      <c r="J14" s="258">
        <f t="shared" si="3"/>
        <v>-100</v>
      </c>
    </row>
    <row r="15" s="286" customFormat="1" ht="19.5" customHeight="1" spans="1:10">
      <c r="A15" s="293" t="s">
        <v>1209</v>
      </c>
      <c r="B15" s="260"/>
      <c r="C15" s="260">
        <v>-199.7268</v>
      </c>
      <c r="D15" s="258"/>
      <c r="E15" s="260">
        <v>-667</v>
      </c>
      <c r="F15" s="260">
        <f t="shared" si="0"/>
        <v>467.2732</v>
      </c>
      <c r="G15" s="258">
        <f t="shared" si="2"/>
        <v>-70.055952023988</v>
      </c>
      <c r="H15" s="260"/>
      <c r="I15" s="260">
        <f t="shared" si="1"/>
        <v>199.7268</v>
      </c>
      <c r="J15" s="258">
        <f t="shared" si="3"/>
        <v>-100</v>
      </c>
    </row>
    <row r="16" s="286" customFormat="1" ht="19.5" customHeight="1" spans="1:10">
      <c r="A16" s="293" t="s">
        <v>1210</v>
      </c>
      <c r="B16" s="260"/>
      <c r="C16" s="260">
        <v>17.725219</v>
      </c>
      <c r="D16" s="258"/>
      <c r="E16" s="260">
        <v>20337</v>
      </c>
      <c r="F16" s="260">
        <f t="shared" si="0"/>
        <v>-20319.274781</v>
      </c>
      <c r="G16" s="258">
        <f t="shared" si="2"/>
        <v>-99.9128425087279</v>
      </c>
      <c r="H16" s="260"/>
      <c r="I16" s="260">
        <f t="shared" si="1"/>
        <v>-17.725219</v>
      </c>
      <c r="J16" s="258">
        <f t="shared" si="3"/>
        <v>-100</v>
      </c>
    </row>
    <row r="17" s="286" customFormat="1" ht="19.5" customHeight="1" spans="1:10">
      <c r="A17" s="292" t="s">
        <v>1211</v>
      </c>
      <c r="B17" s="262"/>
      <c r="C17" s="262"/>
      <c r="D17" s="258"/>
      <c r="E17" s="262"/>
      <c r="F17" s="262">
        <f t="shared" si="0"/>
        <v>0</v>
      </c>
      <c r="G17" s="258"/>
      <c r="H17" s="262"/>
      <c r="I17" s="262">
        <f t="shared" si="1"/>
        <v>0</v>
      </c>
      <c r="J17" s="258"/>
    </row>
    <row r="18" s="286" customFormat="1" ht="19.5" customHeight="1" spans="1:10">
      <c r="A18" s="292" t="s">
        <v>1212</v>
      </c>
      <c r="B18" s="262"/>
      <c r="C18" s="262"/>
      <c r="D18" s="258"/>
      <c r="E18" s="299"/>
      <c r="F18" s="262">
        <f t="shared" si="0"/>
        <v>0</v>
      </c>
      <c r="G18" s="258"/>
      <c r="H18" s="262"/>
      <c r="I18" s="262">
        <f t="shared" si="1"/>
        <v>0</v>
      </c>
      <c r="J18" s="258"/>
    </row>
    <row r="19" s="286" customFormat="1" ht="19.5" customHeight="1" spans="1:10">
      <c r="A19" s="293" t="s">
        <v>1213</v>
      </c>
      <c r="B19" s="260"/>
      <c r="C19" s="260"/>
      <c r="D19" s="258"/>
      <c r="E19" s="300"/>
      <c r="F19" s="260">
        <f t="shared" si="0"/>
        <v>0</v>
      </c>
      <c r="G19" s="258"/>
      <c r="H19" s="260"/>
      <c r="I19" s="260">
        <f t="shared" si="1"/>
        <v>0</v>
      </c>
      <c r="J19" s="258"/>
    </row>
    <row r="20" s="286" customFormat="1" ht="19.5" customHeight="1" spans="1:10">
      <c r="A20" s="293" t="s">
        <v>1214</v>
      </c>
      <c r="B20" s="260"/>
      <c r="C20" s="260"/>
      <c r="D20" s="258"/>
      <c r="E20" s="301"/>
      <c r="F20" s="260">
        <f t="shared" si="0"/>
        <v>0</v>
      </c>
      <c r="G20" s="258"/>
      <c r="H20" s="260"/>
      <c r="I20" s="260">
        <f t="shared" si="1"/>
        <v>0</v>
      </c>
      <c r="J20" s="258"/>
    </row>
    <row r="21" s="286" customFormat="1" ht="19.5" customHeight="1" spans="1:10">
      <c r="A21" s="292" t="s">
        <v>1215</v>
      </c>
      <c r="B21" s="262">
        <v>3000</v>
      </c>
      <c r="C21" s="262">
        <v>3597</v>
      </c>
      <c r="D21" s="258">
        <f>C21/B21*100</f>
        <v>119.9</v>
      </c>
      <c r="E21" s="262">
        <v>2726</v>
      </c>
      <c r="F21" s="262">
        <f t="shared" si="0"/>
        <v>871</v>
      </c>
      <c r="G21" s="258">
        <f>F21/E21*100</f>
        <v>31.951577402788</v>
      </c>
      <c r="H21" s="262">
        <v>3500</v>
      </c>
      <c r="I21" s="262">
        <f t="shared" si="1"/>
        <v>-97</v>
      </c>
      <c r="J21" s="258">
        <f>I21/C21*100</f>
        <v>-2.69669168751738</v>
      </c>
    </row>
    <row r="22" s="286" customFormat="1" ht="19.5" customHeight="1" spans="1:10">
      <c r="A22" s="292" t="s">
        <v>1216</v>
      </c>
      <c r="B22" s="262"/>
      <c r="C22" s="262"/>
      <c r="D22" s="258"/>
      <c r="E22" s="262"/>
      <c r="F22" s="262">
        <f t="shared" si="0"/>
        <v>0</v>
      </c>
      <c r="G22" s="258"/>
      <c r="H22" s="262"/>
      <c r="I22" s="262">
        <f t="shared" si="1"/>
        <v>0</v>
      </c>
      <c r="J22" s="258"/>
    </row>
    <row r="23" s="286" customFormat="1" ht="19.5" customHeight="1" spans="1:10">
      <c r="A23" s="292" t="s">
        <v>1217</v>
      </c>
      <c r="B23" s="262"/>
      <c r="C23" s="262"/>
      <c r="D23" s="258"/>
      <c r="E23" s="262"/>
      <c r="F23" s="262">
        <f t="shared" si="0"/>
        <v>0</v>
      </c>
      <c r="G23" s="258"/>
      <c r="H23" s="262"/>
      <c r="I23" s="262">
        <f t="shared" si="1"/>
        <v>0</v>
      </c>
      <c r="J23" s="258"/>
    </row>
    <row r="24" s="286" customFormat="1" ht="19.5" customHeight="1" spans="1:10">
      <c r="A24" s="292" t="s">
        <v>1218</v>
      </c>
      <c r="B24" s="262"/>
      <c r="C24" s="262"/>
      <c r="D24" s="258"/>
      <c r="E24" s="262"/>
      <c r="F24" s="262">
        <f t="shared" si="0"/>
        <v>0</v>
      </c>
      <c r="G24" s="258"/>
      <c r="H24" s="262"/>
      <c r="I24" s="262">
        <f t="shared" si="1"/>
        <v>0</v>
      </c>
      <c r="J24" s="258"/>
    </row>
    <row r="25" s="286" customFormat="1" ht="19.5" customHeight="1" spans="1:10">
      <c r="A25" s="292" t="s">
        <v>1219</v>
      </c>
      <c r="B25" s="262"/>
      <c r="C25" s="262"/>
      <c r="D25" s="258"/>
      <c r="E25" s="262"/>
      <c r="F25" s="262"/>
      <c r="G25" s="258"/>
      <c r="H25" s="262"/>
      <c r="I25" s="262"/>
      <c r="J25" s="258"/>
    </row>
    <row r="26" s="286" customFormat="1" ht="19.5" customHeight="1" spans="1:10">
      <c r="A26" s="292" t="s">
        <v>1220</v>
      </c>
      <c r="B26" s="262"/>
      <c r="C26" s="262"/>
      <c r="D26" s="258"/>
      <c r="E26" s="262"/>
      <c r="F26" s="262">
        <f t="shared" si="0"/>
        <v>0</v>
      </c>
      <c r="G26" s="258"/>
      <c r="H26" s="262"/>
      <c r="I26" s="262">
        <f t="shared" si="1"/>
        <v>0</v>
      </c>
      <c r="J26" s="258"/>
    </row>
    <row r="27" s="286" customFormat="1" ht="19.5" customHeight="1" spans="1:10">
      <c r="A27" s="292" t="s">
        <v>1221</v>
      </c>
      <c r="B27" s="262"/>
      <c r="C27" s="262"/>
      <c r="D27" s="258"/>
      <c r="E27" s="262"/>
      <c r="F27" s="262">
        <f t="shared" si="0"/>
        <v>0</v>
      </c>
      <c r="G27" s="258"/>
      <c r="H27" s="262"/>
      <c r="I27" s="262">
        <f t="shared" si="1"/>
        <v>0</v>
      </c>
      <c r="J27" s="258"/>
    </row>
    <row r="28" s="286" customFormat="1" ht="19.5" customHeight="1" spans="1:10">
      <c r="A28" s="292" t="s">
        <v>1222</v>
      </c>
      <c r="B28" s="262">
        <f>B29+B33+B34+B35+B36+B37+B38</f>
        <v>61933</v>
      </c>
      <c r="C28" s="262">
        <f>C29+C33+C34+C35+C36+C37+C38</f>
        <v>78581.150816</v>
      </c>
      <c r="D28" s="258">
        <f>C28/B28*100</f>
        <v>126.880904874623</v>
      </c>
      <c r="E28" s="262">
        <f>E29+E33+E34+E35+E36+E37+E38</f>
        <v>28706</v>
      </c>
      <c r="F28" s="262">
        <f t="shared" si="0"/>
        <v>49875.150816</v>
      </c>
      <c r="G28" s="258">
        <f t="shared" ref="G25:G31" si="4">F28/E28*100</f>
        <v>173.744690364384</v>
      </c>
      <c r="H28" s="262">
        <f>H29+H33+H34+H35+H36+H37+H38</f>
        <v>43383</v>
      </c>
      <c r="I28" s="262">
        <f t="shared" si="1"/>
        <v>-35198.150816</v>
      </c>
      <c r="J28" s="258">
        <f t="shared" ref="J25:J32" si="5">I28/C28*100</f>
        <v>-44.7921040230341</v>
      </c>
    </row>
    <row r="29" s="286" customFormat="1" ht="19.5" customHeight="1" spans="1:10">
      <c r="A29" s="293" t="s">
        <v>1223</v>
      </c>
      <c r="B29" s="260">
        <f>SUM(B30:B32)</f>
        <v>0</v>
      </c>
      <c r="C29" s="260">
        <f>SUM(C30:C32)</f>
        <v>3500</v>
      </c>
      <c r="D29" s="258"/>
      <c r="E29" s="260">
        <f>SUM(E30:E32)</f>
        <v>3105</v>
      </c>
      <c r="F29" s="260">
        <f t="shared" si="0"/>
        <v>395</v>
      </c>
      <c r="G29" s="258">
        <f t="shared" si="4"/>
        <v>12.7214170692432</v>
      </c>
      <c r="H29" s="260">
        <f>SUM(H30:H32)</f>
        <v>0</v>
      </c>
      <c r="I29" s="260">
        <f t="shared" si="1"/>
        <v>-3500</v>
      </c>
      <c r="J29" s="258">
        <f t="shared" si="5"/>
        <v>-100</v>
      </c>
    </row>
    <row r="30" s="286" customFormat="1" ht="19.5" customHeight="1" spans="1:10">
      <c r="A30" s="293" t="s">
        <v>1224</v>
      </c>
      <c r="B30" s="260"/>
      <c r="C30" s="260"/>
      <c r="D30" s="258"/>
      <c r="E30" s="260"/>
      <c r="F30" s="260">
        <f t="shared" si="0"/>
        <v>0</v>
      </c>
      <c r="G30" s="258"/>
      <c r="H30" s="260"/>
      <c r="I30" s="260"/>
      <c r="J30" s="258"/>
    </row>
    <row r="31" s="286" customFormat="1" ht="19.5" customHeight="1" spans="1:10">
      <c r="A31" s="293" t="s">
        <v>1225</v>
      </c>
      <c r="B31" s="260"/>
      <c r="C31" s="260">
        <v>3183.346693</v>
      </c>
      <c r="D31" s="258"/>
      <c r="E31" s="260">
        <v>1759</v>
      </c>
      <c r="F31" s="260">
        <f t="shared" si="0"/>
        <v>1424.346693</v>
      </c>
      <c r="G31" s="258">
        <f t="shared" si="4"/>
        <v>80.9747977828312</v>
      </c>
      <c r="H31" s="260"/>
      <c r="I31" s="260">
        <f t="shared" si="1"/>
        <v>-3183.346693</v>
      </c>
      <c r="J31" s="258">
        <f t="shared" si="5"/>
        <v>-100</v>
      </c>
    </row>
    <row r="32" s="286" customFormat="1" ht="19.5" customHeight="1" spans="1:10">
      <c r="A32" s="293" t="s">
        <v>1226</v>
      </c>
      <c r="B32" s="260"/>
      <c r="C32" s="260">
        <v>316.653307</v>
      </c>
      <c r="D32" s="258"/>
      <c r="E32" s="260">
        <v>1346</v>
      </c>
      <c r="F32" s="260">
        <f t="shared" si="0"/>
        <v>-1029.346693</v>
      </c>
      <c r="G32" s="258"/>
      <c r="H32" s="260"/>
      <c r="I32" s="260">
        <f t="shared" si="1"/>
        <v>-316.653307</v>
      </c>
      <c r="J32" s="258">
        <f t="shared" si="5"/>
        <v>-100</v>
      </c>
    </row>
    <row r="33" s="286" customFormat="1" ht="19.5" customHeight="1" spans="1:10">
      <c r="A33" s="293" t="s">
        <v>1227</v>
      </c>
      <c r="B33" s="294"/>
      <c r="C33" s="260"/>
      <c r="D33" s="258"/>
      <c r="E33" s="260"/>
      <c r="F33" s="260">
        <f t="shared" si="0"/>
        <v>0</v>
      </c>
      <c r="G33" s="258"/>
      <c r="H33" s="260"/>
      <c r="I33" s="260">
        <f t="shared" si="1"/>
        <v>0</v>
      </c>
      <c r="J33" s="258"/>
    </row>
    <row r="34" s="286" customFormat="1" ht="19.5" customHeight="1" spans="1:10">
      <c r="A34" s="293" t="s">
        <v>1228</v>
      </c>
      <c r="B34" s="294"/>
      <c r="C34" s="260"/>
      <c r="D34" s="258"/>
      <c r="E34" s="260"/>
      <c r="F34" s="260">
        <f t="shared" si="0"/>
        <v>0</v>
      </c>
      <c r="G34" s="258"/>
      <c r="H34" s="260"/>
      <c r="I34" s="260">
        <f t="shared" si="1"/>
        <v>0</v>
      </c>
      <c r="J34" s="258"/>
    </row>
    <row r="35" s="286" customFormat="1" ht="19.5" customHeight="1" spans="1:10">
      <c r="A35" s="293" t="s">
        <v>1229</v>
      </c>
      <c r="B35" s="260"/>
      <c r="C35" s="260"/>
      <c r="D35" s="258"/>
      <c r="E35" s="260"/>
      <c r="F35" s="260">
        <f t="shared" si="0"/>
        <v>0</v>
      </c>
      <c r="G35" s="258"/>
      <c r="H35" s="260"/>
      <c r="I35" s="260">
        <f t="shared" si="1"/>
        <v>0</v>
      </c>
      <c r="J35" s="258"/>
    </row>
    <row r="36" s="286" customFormat="1" ht="19.5" customHeight="1" spans="1:10">
      <c r="A36" s="293" t="s">
        <v>1230</v>
      </c>
      <c r="B36" s="260"/>
      <c r="C36" s="260"/>
      <c r="D36" s="258"/>
      <c r="E36" s="260"/>
      <c r="F36" s="260">
        <f t="shared" si="0"/>
        <v>0</v>
      </c>
      <c r="G36" s="258"/>
      <c r="H36" s="260"/>
      <c r="I36" s="260">
        <f t="shared" si="1"/>
        <v>0</v>
      </c>
      <c r="J36" s="258"/>
    </row>
    <row r="37" s="286" customFormat="1" ht="19.5" customHeight="1" spans="1:10">
      <c r="A37" s="293" t="s">
        <v>1231</v>
      </c>
      <c r="B37" s="260"/>
      <c r="C37" s="260"/>
      <c r="D37" s="258"/>
      <c r="E37" s="260"/>
      <c r="F37" s="260">
        <f t="shared" si="0"/>
        <v>0</v>
      </c>
      <c r="G37" s="258"/>
      <c r="H37" s="260"/>
      <c r="I37" s="260">
        <f t="shared" si="1"/>
        <v>0</v>
      </c>
      <c r="J37" s="258"/>
    </row>
    <row r="38" s="286" customFormat="1" ht="19.5" customHeight="1" spans="1:10">
      <c r="A38" s="293" t="s">
        <v>1232</v>
      </c>
      <c r="B38" s="260">
        <f>SUM(B39:B40)</f>
        <v>61933</v>
      </c>
      <c r="C38" s="260">
        <f>SUM(C39:C40)</f>
        <v>75081.150816</v>
      </c>
      <c r="D38" s="258">
        <f t="shared" ref="D38:D41" si="6">C38/B38*100</f>
        <v>121.22963656855</v>
      </c>
      <c r="E38" s="260">
        <f>SUM(E39:E40)</f>
        <v>25601</v>
      </c>
      <c r="F38" s="260">
        <f t="shared" si="0"/>
        <v>49480.150816</v>
      </c>
      <c r="G38" s="258">
        <f t="shared" ref="G38:G41" si="7">F38/E38*100</f>
        <v>193.274289348072</v>
      </c>
      <c r="H38" s="260">
        <f>SUM(H39:H40)</f>
        <v>43383</v>
      </c>
      <c r="I38" s="260">
        <f t="shared" si="1"/>
        <v>-31698.150816</v>
      </c>
      <c r="J38" s="258">
        <f t="shared" ref="J38:J41" si="8">I38/C38*100</f>
        <v>-42.2185201898171</v>
      </c>
    </row>
    <row r="39" s="286" customFormat="1" ht="19.5" customHeight="1" spans="1:10">
      <c r="A39" s="293" t="s">
        <v>1233</v>
      </c>
      <c r="B39" s="260">
        <v>56376</v>
      </c>
      <c r="C39" s="260">
        <f>72327.150816+1538+1216</f>
        <v>75081.150816</v>
      </c>
      <c r="D39" s="258">
        <f t="shared" si="6"/>
        <v>133.179279863772</v>
      </c>
      <c r="E39" s="260">
        <v>25601</v>
      </c>
      <c r="F39" s="260">
        <f t="shared" si="0"/>
        <v>49480.150816</v>
      </c>
      <c r="G39" s="258">
        <f t="shared" si="7"/>
        <v>193.274289348072</v>
      </c>
      <c r="H39" s="260">
        <v>43383</v>
      </c>
      <c r="I39" s="260">
        <f t="shared" si="1"/>
        <v>-31698.150816</v>
      </c>
      <c r="J39" s="258">
        <f t="shared" si="8"/>
        <v>-42.2185201898171</v>
      </c>
    </row>
    <row r="40" s="286" customFormat="1" ht="19.5" customHeight="1" spans="1:10">
      <c r="A40" s="293" t="s">
        <v>1234</v>
      </c>
      <c r="B40" s="260">
        <v>5557</v>
      </c>
      <c r="C40" s="260"/>
      <c r="D40" s="258"/>
      <c r="E40" s="260"/>
      <c r="F40" s="260">
        <f t="shared" si="0"/>
        <v>0</v>
      </c>
      <c r="G40" s="258"/>
      <c r="H40" s="260"/>
      <c r="I40" s="260">
        <f t="shared" si="1"/>
        <v>0</v>
      </c>
      <c r="J40" s="258"/>
    </row>
    <row r="41" s="286" customFormat="1" ht="19.5" customHeight="1" spans="1:10">
      <c r="A41" s="295" t="s">
        <v>1235</v>
      </c>
      <c r="B41" s="262">
        <f>B7+B8+B9+B10+B11+B17+B18+B21+B22+B23+B24+B25+B26+B27+B28</f>
        <v>373933</v>
      </c>
      <c r="C41" s="262">
        <f>C7+C8+C9+C10+C11+C17+C18+C21+C22+C23+C24+C25+C26+C27+C28</f>
        <v>134867.413887</v>
      </c>
      <c r="D41" s="258">
        <f t="shared" si="6"/>
        <v>36.0672671005234</v>
      </c>
      <c r="E41" s="262">
        <f>E7+E8+E9+E10+E11+E17+E18+E21+E22+E23+E24+E25+E26+E27+E28</f>
        <v>186971</v>
      </c>
      <c r="F41" s="262">
        <f t="shared" si="0"/>
        <v>-52103.586113</v>
      </c>
      <c r="G41" s="258">
        <f t="shared" si="7"/>
        <v>-27.8672019259671</v>
      </c>
      <c r="H41" s="262">
        <f>H7+H8+H9+H10+H11+H17+H18+H21+H22+H23+H24+H25+H26+H27+H28</f>
        <v>145283</v>
      </c>
      <c r="I41" s="262">
        <f t="shared" si="1"/>
        <v>10415.586113</v>
      </c>
      <c r="J41" s="258">
        <f t="shared" si="8"/>
        <v>7.72283371706586</v>
      </c>
    </row>
    <row r="42" s="286" customFormat="1" ht="19.5" customHeight="1" spans="1:10">
      <c r="A42" s="295" t="s">
        <v>71</v>
      </c>
      <c r="B42" s="262">
        <f>B43+B44+B45+B46+B47</f>
        <v>165623</v>
      </c>
      <c r="C42" s="262">
        <f>C43+C44+C45+C46+C47</f>
        <v>664592</v>
      </c>
      <c r="D42" s="260"/>
      <c r="E42" s="260"/>
      <c r="F42" s="260"/>
      <c r="G42" s="260"/>
      <c r="H42" s="262">
        <f>H43+H44+H45+H46+H47</f>
        <v>274168.74</v>
      </c>
      <c r="I42" s="260"/>
      <c r="J42" s="260"/>
    </row>
    <row r="43" ht="19.5" customHeight="1" spans="1:11">
      <c r="A43" s="180" t="s">
        <v>1236</v>
      </c>
      <c r="B43" s="260">
        <v>2124</v>
      </c>
      <c r="C43" s="260">
        <v>135176</v>
      </c>
      <c r="D43" s="260"/>
      <c r="E43" s="260"/>
      <c r="F43" s="260"/>
      <c r="G43" s="260"/>
      <c r="H43" s="260">
        <v>7541</v>
      </c>
      <c r="I43" s="260"/>
      <c r="J43" s="260"/>
      <c r="K43" s="286"/>
    </row>
    <row r="44" ht="19.5" customHeight="1" spans="1:11">
      <c r="A44" s="180" t="s">
        <v>137</v>
      </c>
      <c r="B44" s="260"/>
      <c r="C44" s="260"/>
      <c r="D44" s="260"/>
      <c r="E44" s="260"/>
      <c r="F44" s="260"/>
      <c r="G44" s="260"/>
      <c r="H44" s="260"/>
      <c r="I44" s="260"/>
      <c r="J44" s="260"/>
      <c r="K44" s="286"/>
    </row>
    <row r="45" ht="19.5" customHeight="1" spans="1:11">
      <c r="A45" s="180" t="s">
        <v>138</v>
      </c>
      <c r="B45" s="260">
        <v>104299</v>
      </c>
      <c r="C45" s="260">
        <v>103335</v>
      </c>
      <c r="D45" s="260"/>
      <c r="E45" s="260"/>
      <c r="F45" s="260"/>
      <c r="G45" s="260"/>
      <c r="H45" s="260">
        <v>100627.74</v>
      </c>
      <c r="I45" s="260"/>
      <c r="J45" s="260"/>
      <c r="K45" s="286"/>
    </row>
    <row r="46" ht="19.5" customHeight="1" spans="1:11">
      <c r="A46" s="180" t="s">
        <v>140</v>
      </c>
      <c r="B46" s="260"/>
      <c r="C46" s="260"/>
      <c r="D46" s="260"/>
      <c r="E46" s="260"/>
      <c r="F46" s="260"/>
      <c r="G46" s="260"/>
      <c r="H46" s="260"/>
      <c r="I46" s="260"/>
      <c r="J46" s="260"/>
      <c r="K46" s="286"/>
    </row>
    <row r="47" ht="19.5" customHeight="1" spans="1:11">
      <c r="A47" s="180" t="s">
        <v>144</v>
      </c>
      <c r="B47" s="260">
        <f>B48</f>
        <v>59200</v>
      </c>
      <c r="C47" s="260">
        <f>C48</f>
        <v>426081</v>
      </c>
      <c r="D47" s="260"/>
      <c r="E47" s="260"/>
      <c r="F47" s="260"/>
      <c r="G47" s="260"/>
      <c r="H47" s="260">
        <f>H48</f>
        <v>166000</v>
      </c>
      <c r="I47" s="260"/>
      <c r="J47" s="260"/>
      <c r="K47" s="286"/>
    </row>
    <row r="48" ht="19.5" customHeight="1" spans="1:11">
      <c r="A48" s="180" t="s">
        <v>1237</v>
      </c>
      <c r="B48" s="260">
        <v>59200</v>
      </c>
      <c r="C48" s="260">
        <v>426081</v>
      </c>
      <c r="D48" s="260"/>
      <c r="E48" s="260"/>
      <c r="F48" s="260"/>
      <c r="G48" s="260"/>
      <c r="H48" s="260">
        <v>166000</v>
      </c>
      <c r="I48" s="260"/>
      <c r="J48" s="260"/>
      <c r="K48" s="286"/>
    </row>
    <row r="49" s="286" customFormat="1" ht="19.5" customHeight="1" spans="1:10">
      <c r="A49" s="295" t="s">
        <v>1238</v>
      </c>
      <c r="B49" s="262">
        <f>B41+B42</f>
        <v>539556</v>
      </c>
      <c r="C49" s="262">
        <f>C41+C42+1</f>
        <v>799460.413887</v>
      </c>
      <c r="D49" s="260"/>
      <c r="E49" s="260"/>
      <c r="F49" s="260"/>
      <c r="G49" s="260"/>
      <c r="H49" s="262">
        <f>H41+H42</f>
        <v>419451.74</v>
      </c>
      <c r="I49" s="260"/>
      <c r="J49" s="260"/>
    </row>
    <row r="50" spans="11:11">
      <c r="K50" s="286"/>
    </row>
    <row r="52" spans="8:8">
      <c r="H52" s="296"/>
    </row>
    <row r="54" spans="3:3">
      <c r="C54" s="296"/>
    </row>
    <row r="169" spans="1:1">
      <c r="A169" s="285"/>
    </row>
  </sheetData>
  <mergeCells count="11">
    <mergeCell ref="A2:J2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629166666666667" right="0.786805555555556" top="0.786805555555556" bottom="0.786805555555556" header="0.313888888888889" footer="0.313888888888889"/>
  <pageSetup paperSize="9" scale="82" fitToHeight="0" orientation="landscape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  <pageSetUpPr fitToPage="1"/>
  </sheetPr>
  <dimension ref="A1:K283"/>
  <sheetViews>
    <sheetView showZeros="0" view="pageBreakPreview" zoomScale="110" zoomScaleNormal="100" zoomScaleSheetLayoutView="110" workbookViewId="0">
      <pane xSplit="1" ySplit="6" topLeftCell="B261" activePane="bottomRight" state="frozen"/>
      <selection/>
      <selection pane="topRight"/>
      <selection pane="bottomLeft"/>
      <selection pane="bottomRight" activeCell="A268" sqref="A268"/>
    </sheetView>
  </sheetViews>
  <sheetFormatPr defaultColWidth="9" defaultRowHeight="14.25"/>
  <cols>
    <col min="1" max="1" width="57.5" style="243" customWidth="1"/>
    <col min="2" max="2" width="12.8333333333333" style="244" customWidth="1"/>
    <col min="3" max="3" width="13.25" style="245" customWidth="1"/>
    <col min="4" max="4" width="9.83333333333333" style="246" customWidth="1"/>
    <col min="5" max="5" width="14.25" style="246" hidden="1" customWidth="1"/>
    <col min="6" max="6" width="11.5833333333333" style="246" customWidth="1"/>
    <col min="7" max="7" width="9.58333333333333" style="246" customWidth="1"/>
    <col min="8" max="8" width="13.25" style="246" customWidth="1"/>
    <col min="9" max="9" width="11.3333333333333" style="246" customWidth="1"/>
    <col min="10" max="10" width="10.3333333333333" style="246" customWidth="1"/>
    <col min="11" max="11" width="11.5" style="246"/>
    <col min="12" max="16384" width="9" style="246"/>
  </cols>
  <sheetData>
    <row r="1" s="164" customFormat="1" ht="26.25" customHeight="1" spans="1:9">
      <c r="A1" s="122" t="s">
        <v>1241</v>
      </c>
      <c r="B1" s="247"/>
      <c r="C1" s="165"/>
      <c r="D1" s="165"/>
      <c r="E1" s="165"/>
      <c r="F1" s="165"/>
      <c r="G1" s="168"/>
      <c r="H1" s="165"/>
      <c r="I1" s="165"/>
    </row>
    <row r="2" ht="35.25" customHeight="1" spans="1:10">
      <c r="A2" s="248" t="s">
        <v>1242</v>
      </c>
      <c r="B2" s="248"/>
      <c r="C2" s="248"/>
      <c r="D2" s="248"/>
      <c r="E2" s="248"/>
      <c r="F2" s="248"/>
      <c r="G2" s="248"/>
      <c r="H2" s="248"/>
      <c r="I2" s="248"/>
      <c r="J2" s="248"/>
    </row>
    <row r="3" ht="18" customHeight="1" spans="10:10">
      <c r="J3" s="268" t="s">
        <v>1055</v>
      </c>
    </row>
    <row r="4" s="241" customFormat="1" ht="18" customHeight="1" spans="1:10">
      <c r="A4" s="249" t="s">
        <v>1139</v>
      </c>
      <c r="B4" s="249"/>
      <c r="C4" s="250"/>
      <c r="D4" s="250"/>
      <c r="E4" s="250"/>
      <c r="F4" s="250"/>
      <c r="G4" s="250"/>
      <c r="H4" s="250" t="s">
        <v>36</v>
      </c>
      <c r="I4" s="250"/>
      <c r="J4" s="250"/>
    </row>
    <row r="5" s="241" customFormat="1" ht="28" customHeight="1" spans="1:10">
      <c r="A5" s="249"/>
      <c r="B5" s="150" t="s">
        <v>1198</v>
      </c>
      <c r="C5" s="249" t="s">
        <v>38</v>
      </c>
      <c r="D5" s="249" t="s">
        <v>39</v>
      </c>
      <c r="E5" s="266" t="s">
        <v>1243</v>
      </c>
      <c r="F5" s="249" t="s">
        <v>1200</v>
      </c>
      <c r="G5" s="249"/>
      <c r="H5" s="249" t="s">
        <v>42</v>
      </c>
      <c r="I5" s="249" t="s">
        <v>152</v>
      </c>
      <c r="J5" s="249"/>
    </row>
    <row r="6" s="241" customFormat="1" ht="18" customHeight="1" spans="1:10">
      <c r="A6" s="249"/>
      <c r="B6" s="150"/>
      <c r="C6" s="249"/>
      <c r="D6" s="249"/>
      <c r="E6" s="267"/>
      <c r="F6" s="249" t="s">
        <v>44</v>
      </c>
      <c r="G6" s="249" t="s">
        <v>45</v>
      </c>
      <c r="H6" s="249"/>
      <c r="I6" s="250" t="s">
        <v>44</v>
      </c>
      <c r="J6" s="250" t="s">
        <v>45</v>
      </c>
    </row>
    <row r="7" s="241" customFormat="1" ht="18" customHeight="1" spans="1:10">
      <c r="A7" s="251" t="s">
        <v>1244</v>
      </c>
      <c r="B7" s="252">
        <f>B8</f>
        <v>190</v>
      </c>
      <c r="C7" s="252"/>
      <c r="D7" s="249"/>
      <c r="E7" s="267"/>
      <c r="F7" s="249"/>
      <c r="G7" s="249"/>
      <c r="H7" s="252">
        <f>H8</f>
        <v>190</v>
      </c>
      <c r="I7" s="250"/>
      <c r="J7" s="250"/>
    </row>
    <row r="8" s="241" customFormat="1" ht="18" customHeight="1" spans="1:10">
      <c r="A8" s="253" t="s">
        <v>1245</v>
      </c>
      <c r="B8" s="254">
        <v>190</v>
      </c>
      <c r="C8" s="260"/>
      <c r="D8" s="249"/>
      <c r="E8" s="267"/>
      <c r="F8" s="249"/>
      <c r="G8" s="249"/>
      <c r="H8" s="254">
        <f>SUM(H9:H13)</f>
        <v>190</v>
      </c>
      <c r="I8" s="250"/>
      <c r="J8" s="250"/>
    </row>
    <row r="9" s="241" customFormat="1" ht="18" customHeight="1" spans="1:10">
      <c r="A9" s="253" t="s">
        <v>1246</v>
      </c>
      <c r="B9" s="280"/>
      <c r="C9" s="249"/>
      <c r="D9" s="249"/>
      <c r="E9" s="267"/>
      <c r="F9" s="249"/>
      <c r="G9" s="249"/>
      <c r="H9" s="282"/>
      <c r="I9" s="250"/>
      <c r="J9" s="250"/>
    </row>
    <row r="10" s="241" customFormat="1" ht="18" customHeight="1" spans="1:10">
      <c r="A10" s="253" t="s">
        <v>1247</v>
      </c>
      <c r="B10" s="280"/>
      <c r="C10" s="249"/>
      <c r="D10" s="249"/>
      <c r="E10" s="267"/>
      <c r="F10" s="249"/>
      <c r="G10" s="249"/>
      <c r="H10" s="282"/>
      <c r="I10" s="250"/>
      <c r="J10" s="250"/>
    </row>
    <row r="11" s="241" customFormat="1" ht="18" customHeight="1" spans="1:10">
      <c r="A11" s="253" t="s">
        <v>1248</v>
      </c>
      <c r="B11" s="280"/>
      <c r="C11" s="249"/>
      <c r="D11" s="249"/>
      <c r="E11" s="267"/>
      <c r="F11" s="249"/>
      <c r="G11" s="249"/>
      <c r="H11" s="282"/>
      <c r="I11" s="250"/>
      <c r="J11" s="250"/>
    </row>
    <row r="12" s="241" customFormat="1" ht="18" customHeight="1" spans="1:10">
      <c r="A12" s="253" t="s">
        <v>1249</v>
      </c>
      <c r="B12" s="280"/>
      <c r="C12" s="249"/>
      <c r="D12" s="249"/>
      <c r="E12" s="267"/>
      <c r="F12" s="249"/>
      <c r="G12" s="249"/>
      <c r="H12" s="282"/>
      <c r="I12" s="250"/>
      <c r="J12" s="250"/>
    </row>
    <row r="13" s="241" customFormat="1" ht="18" customHeight="1" spans="1:10">
      <c r="A13" s="253" t="s">
        <v>1250</v>
      </c>
      <c r="B13" s="280"/>
      <c r="C13" s="249"/>
      <c r="D13" s="249"/>
      <c r="E13" s="267"/>
      <c r="F13" s="249"/>
      <c r="G13" s="249"/>
      <c r="H13" s="254">
        <v>190</v>
      </c>
      <c r="I13" s="250"/>
      <c r="J13" s="250"/>
    </row>
    <row r="14" s="242" customFormat="1" ht="18" customHeight="1" spans="1:11">
      <c r="A14" s="255" t="s">
        <v>1251</v>
      </c>
      <c r="B14" s="257">
        <f>B15+B16</f>
        <v>0</v>
      </c>
      <c r="C14" s="257">
        <f>C15+C16</f>
        <v>0</v>
      </c>
      <c r="D14" s="258"/>
      <c r="E14" s="262">
        <f>E15+E16</f>
        <v>0</v>
      </c>
      <c r="F14" s="262">
        <f t="shared" ref="F14:F18" si="0">C14-E14</f>
        <v>0</v>
      </c>
      <c r="G14" s="258"/>
      <c r="H14" s="262">
        <f>H15+H16</f>
        <v>0</v>
      </c>
      <c r="I14" s="262"/>
      <c r="J14" s="258"/>
      <c r="K14" s="241"/>
    </row>
    <row r="15" s="241" customFormat="1" ht="18" customHeight="1" spans="1:10">
      <c r="A15" s="253" t="s">
        <v>1252</v>
      </c>
      <c r="B15" s="280"/>
      <c r="C15" s="259"/>
      <c r="D15" s="258"/>
      <c r="E15" s="260"/>
      <c r="F15" s="262">
        <f t="shared" si="0"/>
        <v>0</v>
      </c>
      <c r="G15" s="258"/>
      <c r="H15" s="260"/>
      <c r="I15" s="262"/>
      <c r="J15" s="258"/>
    </row>
    <row r="16" s="241" customFormat="1" ht="18" customHeight="1" spans="1:10">
      <c r="A16" s="253" t="s">
        <v>1245</v>
      </c>
      <c r="B16" s="280"/>
      <c r="C16" s="259"/>
      <c r="D16" s="258"/>
      <c r="E16" s="260"/>
      <c r="F16" s="262"/>
      <c r="G16" s="258"/>
      <c r="H16" s="260"/>
      <c r="I16" s="262"/>
      <c r="J16" s="258"/>
    </row>
    <row r="17" s="242" customFormat="1" ht="18" customHeight="1" spans="1:11">
      <c r="A17" s="251" t="s">
        <v>1253</v>
      </c>
      <c r="B17" s="252">
        <f>B18+B24+B30+B33</f>
        <v>881</v>
      </c>
      <c r="C17" s="252">
        <f>C18+C24+C30+C33</f>
        <v>861</v>
      </c>
      <c r="D17" s="258">
        <f>C17/B17*100</f>
        <v>97.7298524404086</v>
      </c>
      <c r="E17" s="252">
        <f>E18+E24+E30+E33</f>
        <v>280</v>
      </c>
      <c r="F17" s="262">
        <f t="shared" si="0"/>
        <v>581</v>
      </c>
      <c r="G17" s="258">
        <f>F17/E17*100</f>
        <v>207.5</v>
      </c>
      <c r="H17" s="262">
        <f>H18+H24+H30+H33</f>
        <v>1055</v>
      </c>
      <c r="I17" s="262">
        <f>H17-B17</f>
        <v>174</v>
      </c>
      <c r="J17" s="258">
        <f>I17/B17*100</f>
        <v>19.7502837684449</v>
      </c>
      <c r="K17" s="241"/>
    </row>
    <row r="18" s="241" customFormat="1" ht="18" customHeight="1" spans="1:10">
      <c r="A18" s="253" t="s">
        <v>1254</v>
      </c>
      <c r="B18" s="254">
        <v>143</v>
      </c>
      <c r="C18" s="260">
        <v>472</v>
      </c>
      <c r="D18" s="258">
        <f>C18/B18*100</f>
        <v>330.06993006993</v>
      </c>
      <c r="E18" s="260">
        <f>SUM(E19:E23)</f>
        <v>120</v>
      </c>
      <c r="F18" s="262">
        <f t="shared" si="0"/>
        <v>352</v>
      </c>
      <c r="G18" s="258">
        <f>F18/E18*100</f>
        <v>293.333333333333</v>
      </c>
      <c r="H18" s="260">
        <f>SUM(H19:H23)</f>
        <v>428</v>
      </c>
      <c r="I18" s="262">
        <f>H18-B18</f>
        <v>285</v>
      </c>
      <c r="J18" s="258">
        <f>I18/B18*100</f>
        <v>199.300699300699</v>
      </c>
    </row>
    <row r="19" s="241" customFormat="1" ht="18" customHeight="1" spans="1:10">
      <c r="A19" s="253" t="s">
        <v>1255</v>
      </c>
      <c r="B19" s="280"/>
      <c r="C19" s="259"/>
      <c r="D19" s="258"/>
      <c r="E19" s="260"/>
      <c r="F19" s="262"/>
      <c r="G19" s="258"/>
      <c r="H19" s="260">
        <v>0</v>
      </c>
      <c r="I19" s="262"/>
      <c r="J19" s="258"/>
    </row>
    <row r="20" s="241" customFormat="1" ht="18" customHeight="1" spans="1:10">
      <c r="A20" s="253" t="s">
        <v>1256</v>
      </c>
      <c r="B20" s="280"/>
      <c r="C20" s="259"/>
      <c r="D20" s="258"/>
      <c r="E20" s="260">
        <v>98</v>
      </c>
      <c r="F20" s="262"/>
      <c r="G20" s="258"/>
      <c r="H20" s="260">
        <v>51</v>
      </c>
      <c r="I20" s="262"/>
      <c r="J20" s="258"/>
    </row>
    <row r="21" s="241" customFormat="1" ht="18" customHeight="1" spans="1:10">
      <c r="A21" s="253" t="s">
        <v>1257</v>
      </c>
      <c r="B21" s="280"/>
      <c r="C21" s="259"/>
      <c r="D21" s="258"/>
      <c r="E21" s="260"/>
      <c r="F21" s="262"/>
      <c r="G21" s="258"/>
      <c r="H21" s="260">
        <v>0</v>
      </c>
      <c r="I21" s="262"/>
      <c r="J21" s="258"/>
    </row>
    <row r="22" s="241" customFormat="1" ht="18" customHeight="1" spans="1:10">
      <c r="A22" s="253" t="s">
        <v>1258</v>
      </c>
      <c r="B22" s="280"/>
      <c r="C22" s="259"/>
      <c r="D22" s="258"/>
      <c r="E22" s="260"/>
      <c r="F22" s="262"/>
      <c r="G22" s="258"/>
      <c r="H22" s="260">
        <v>0</v>
      </c>
      <c r="I22" s="262"/>
      <c r="J22" s="258"/>
    </row>
    <row r="23" s="241" customFormat="1" ht="18" customHeight="1" spans="1:10">
      <c r="A23" s="253" t="s">
        <v>1259</v>
      </c>
      <c r="B23" s="280"/>
      <c r="C23" s="259"/>
      <c r="D23" s="258"/>
      <c r="E23" s="260">
        <v>22</v>
      </c>
      <c r="F23" s="262"/>
      <c r="G23" s="258"/>
      <c r="H23" s="260">
        <v>377</v>
      </c>
      <c r="I23" s="262"/>
      <c r="J23" s="258"/>
    </row>
    <row r="24" s="241" customFormat="1" ht="18" customHeight="1" spans="1:10">
      <c r="A24" s="253" t="s">
        <v>1260</v>
      </c>
      <c r="B24" s="254">
        <v>738</v>
      </c>
      <c r="C24" s="260">
        <v>389</v>
      </c>
      <c r="D24" s="258">
        <f>C24/B24*100</f>
        <v>52.710027100271</v>
      </c>
      <c r="E24" s="260">
        <f>SUM(E25:E29)</f>
        <v>160</v>
      </c>
      <c r="F24" s="262">
        <f>C24-E24</f>
        <v>229</v>
      </c>
      <c r="G24" s="258"/>
      <c r="H24" s="260">
        <f>SUM(H25:H29)</f>
        <v>627</v>
      </c>
      <c r="I24" s="262">
        <f>H24-B24</f>
        <v>-111</v>
      </c>
      <c r="J24" s="258">
        <f>I24/B24*100</f>
        <v>-15.0406504065041</v>
      </c>
    </row>
    <row r="25" s="241" customFormat="1" ht="18" customHeight="1" spans="1:10">
      <c r="A25" s="253" t="s">
        <v>1261</v>
      </c>
      <c r="B25" s="280"/>
      <c r="C25" s="259"/>
      <c r="D25" s="258"/>
      <c r="E25" s="260"/>
      <c r="F25" s="262"/>
      <c r="G25" s="258"/>
      <c r="H25" s="260">
        <v>0</v>
      </c>
      <c r="I25" s="262"/>
      <c r="J25" s="258"/>
    </row>
    <row r="26" s="241" customFormat="1" ht="18" customHeight="1" spans="1:10">
      <c r="A26" s="253" t="s">
        <v>1262</v>
      </c>
      <c r="B26" s="280"/>
      <c r="C26" s="259"/>
      <c r="D26" s="258"/>
      <c r="E26" s="260"/>
      <c r="F26" s="262"/>
      <c r="G26" s="258"/>
      <c r="H26" s="260">
        <v>0</v>
      </c>
      <c r="I26" s="262"/>
      <c r="J26" s="258"/>
    </row>
    <row r="27" s="241" customFormat="1" ht="18" customHeight="1" spans="1:10">
      <c r="A27" s="253" t="s">
        <v>1263</v>
      </c>
      <c r="B27" s="280"/>
      <c r="C27" s="259"/>
      <c r="D27" s="258"/>
      <c r="E27" s="260"/>
      <c r="F27" s="262"/>
      <c r="G27" s="258"/>
      <c r="H27" s="260">
        <v>24</v>
      </c>
      <c r="I27" s="262"/>
      <c r="J27" s="258"/>
    </row>
    <row r="28" s="241" customFormat="1" ht="18" customHeight="1" spans="1:10">
      <c r="A28" s="253" t="s">
        <v>1264</v>
      </c>
      <c r="B28" s="280"/>
      <c r="C28" s="259"/>
      <c r="D28" s="258"/>
      <c r="E28" s="260">
        <v>160</v>
      </c>
      <c r="F28" s="262"/>
      <c r="G28" s="258"/>
      <c r="H28" s="260">
        <v>591</v>
      </c>
      <c r="I28" s="262"/>
      <c r="J28" s="258"/>
    </row>
    <row r="29" s="241" customFormat="1" ht="18" customHeight="1" spans="1:10">
      <c r="A29" s="253" t="s">
        <v>1265</v>
      </c>
      <c r="B29" s="280"/>
      <c r="C29" s="259"/>
      <c r="D29" s="258"/>
      <c r="E29" s="260"/>
      <c r="F29" s="262"/>
      <c r="G29" s="258"/>
      <c r="H29" s="260">
        <v>12</v>
      </c>
      <c r="I29" s="262"/>
      <c r="J29" s="258"/>
    </row>
    <row r="30" s="241" customFormat="1" ht="18" customHeight="1" spans="1:10">
      <c r="A30" s="253" t="s">
        <v>1266</v>
      </c>
      <c r="B30" s="280"/>
      <c r="C30" s="259"/>
      <c r="D30" s="258"/>
      <c r="E30" s="260"/>
      <c r="F30" s="262"/>
      <c r="G30" s="258"/>
      <c r="H30" s="260"/>
      <c r="I30" s="262"/>
      <c r="J30" s="258"/>
    </row>
    <row r="31" s="241" customFormat="1" ht="18" customHeight="1" spans="1:10">
      <c r="A31" s="253" t="s">
        <v>1267</v>
      </c>
      <c r="B31" s="280"/>
      <c r="C31" s="259"/>
      <c r="D31" s="258"/>
      <c r="E31" s="260"/>
      <c r="F31" s="262"/>
      <c r="G31" s="258"/>
      <c r="H31" s="260"/>
      <c r="I31" s="262"/>
      <c r="J31" s="258"/>
    </row>
    <row r="32" s="241" customFormat="1" ht="18" customHeight="1" spans="1:10">
      <c r="A32" s="253" t="s">
        <v>1268</v>
      </c>
      <c r="B32" s="280"/>
      <c r="C32" s="259"/>
      <c r="D32" s="258"/>
      <c r="E32" s="260"/>
      <c r="F32" s="262"/>
      <c r="G32" s="258"/>
      <c r="H32" s="260"/>
      <c r="I32" s="262"/>
      <c r="J32" s="258"/>
    </row>
    <row r="33" s="241" customFormat="1" ht="18" customHeight="1" spans="1:10">
      <c r="A33" s="253" t="s">
        <v>1245</v>
      </c>
      <c r="B33" s="280"/>
      <c r="C33" s="259"/>
      <c r="D33" s="258"/>
      <c r="E33" s="260"/>
      <c r="F33" s="262">
        <f>C33-E33</f>
        <v>0</v>
      </c>
      <c r="G33" s="258"/>
      <c r="H33" s="260">
        <f>SUM(H34:H39)</f>
        <v>0</v>
      </c>
      <c r="I33" s="262">
        <f>H33-B33</f>
        <v>0</v>
      </c>
      <c r="J33" s="258"/>
    </row>
    <row r="34" s="241" customFormat="1" ht="18" customHeight="1" spans="1:10">
      <c r="A34" s="253" t="s">
        <v>1269</v>
      </c>
      <c r="B34" s="280"/>
      <c r="C34" s="259"/>
      <c r="D34" s="258"/>
      <c r="E34" s="260"/>
      <c r="F34" s="262"/>
      <c r="G34" s="258"/>
      <c r="H34" s="260"/>
      <c r="I34" s="262"/>
      <c r="J34" s="258"/>
    </row>
    <row r="35" s="241" customFormat="1" ht="18" customHeight="1" spans="1:10">
      <c r="A35" s="253" t="s">
        <v>1270</v>
      </c>
      <c r="B35" s="280"/>
      <c r="C35" s="259"/>
      <c r="D35" s="258"/>
      <c r="E35" s="260"/>
      <c r="F35" s="262"/>
      <c r="G35" s="258"/>
      <c r="H35" s="260"/>
      <c r="I35" s="262"/>
      <c r="J35" s="258"/>
    </row>
    <row r="36" s="241" customFormat="1" ht="18" customHeight="1" spans="1:10">
      <c r="A36" s="253" t="s">
        <v>1271</v>
      </c>
      <c r="B36" s="280"/>
      <c r="C36" s="259"/>
      <c r="D36" s="258"/>
      <c r="E36" s="260"/>
      <c r="F36" s="262"/>
      <c r="G36" s="258"/>
      <c r="H36" s="260"/>
      <c r="I36" s="262"/>
      <c r="J36" s="258"/>
    </row>
    <row r="37" s="241" customFormat="1" ht="18" customHeight="1" spans="1:10">
      <c r="A37" s="253" t="s">
        <v>1272</v>
      </c>
      <c r="B37" s="280"/>
      <c r="C37" s="259"/>
      <c r="D37" s="258"/>
      <c r="E37" s="260"/>
      <c r="F37" s="262"/>
      <c r="G37" s="258"/>
      <c r="H37" s="260"/>
      <c r="I37" s="262"/>
      <c r="J37" s="258"/>
    </row>
    <row r="38" s="241" customFormat="1" ht="18" customHeight="1" spans="1:10">
      <c r="A38" s="253" t="s">
        <v>1273</v>
      </c>
      <c r="B38" s="280"/>
      <c r="C38" s="259"/>
      <c r="D38" s="258"/>
      <c r="E38" s="260"/>
      <c r="F38" s="262"/>
      <c r="G38" s="258"/>
      <c r="H38" s="260"/>
      <c r="I38" s="262"/>
      <c r="J38" s="258"/>
    </row>
    <row r="39" s="241" customFormat="1" ht="18" customHeight="1" spans="1:10">
      <c r="A39" s="253" t="s">
        <v>1274</v>
      </c>
      <c r="B39" s="280"/>
      <c r="C39" s="259"/>
      <c r="D39" s="258"/>
      <c r="E39" s="260"/>
      <c r="F39" s="262"/>
      <c r="G39" s="258"/>
      <c r="H39" s="260"/>
      <c r="I39" s="262"/>
      <c r="J39" s="258"/>
    </row>
    <row r="40" s="242" customFormat="1" ht="18" customHeight="1" spans="1:11">
      <c r="A40" s="251" t="s">
        <v>1275</v>
      </c>
      <c r="B40" s="261">
        <f>SUM(B41:B41)</f>
        <v>0</v>
      </c>
      <c r="C40" s="261">
        <f>SUM(C41:C41)</f>
        <v>0</v>
      </c>
      <c r="D40" s="258"/>
      <c r="E40" s="261"/>
      <c r="F40" s="262"/>
      <c r="G40" s="258"/>
      <c r="H40" s="262"/>
      <c r="I40" s="262"/>
      <c r="J40" s="258"/>
      <c r="K40" s="241"/>
    </row>
    <row r="41" s="241" customFormat="1" ht="18" customHeight="1" spans="1:10">
      <c r="A41" s="253" t="s">
        <v>1245</v>
      </c>
      <c r="B41" s="280"/>
      <c r="C41" s="259"/>
      <c r="D41" s="258"/>
      <c r="E41" s="260"/>
      <c r="F41" s="262"/>
      <c r="G41" s="258"/>
      <c r="H41" s="260"/>
      <c r="I41" s="262"/>
      <c r="J41" s="258"/>
    </row>
    <row r="42" s="241" customFormat="1" ht="18" customHeight="1" spans="1:10">
      <c r="A42" s="253" t="s">
        <v>1276</v>
      </c>
      <c r="B42" s="280"/>
      <c r="C42" s="259"/>
      <c r="D42" s="258"/>
      <c r="E42" s="260"/>
      <c r="F42" s="262"/>
      <c r="G42" s="258"/>
      <c r="H42" s="260"/>
      <c r="I42" s="262"/>
      <c r="J42" s="258"/>
    </row>
    <row r="43" s="241" customFormat="1" ht="18" customHeight="1" spans="1:10">
      <c r="A43" s="253" t="s">
        <v>1277</v>
      </c>
      <c r="B43" s="280"/>
      <c r="C43" s="259"/>
      <c r="D43" s="258"/>
      <c r="E43" s="260"/>
      <c r="F43" s="262"/>
      <c r="G43" s="258"/>
      <c r="H43" s="260"/>
      <c r="I43" s="262"/>
      <c r="J43" s="258"/>
    </row>
    <row r="44" s="241" customFormat="1" ht="18" customHeight="1" spans="1:10">
      <c r="A44" s="253" t="s">
        <v>1278</v>
      </c>
      <c r="B44" s="280"/>
      <c r="C44" s="259"/>
      <c r="D44" s="258"/>
      <c r="E44" s="260"/>
      <c r="F44" s="262"/>
      <c r="G44" s="258"/>
      <c r="H44" s="260"/>
      <c r="I44" s="262"/>
      <c r="J44" s="258"/>
    </row>
    <row r="45" s="241" customFormat="1" ht="18" customHeight="1" spans="1:10">
      <c r="A45" s="251" t="s">
        <v>1279</v>
      </c>
      <c r="B45" s="252">
        <f>B46</f>
        <v>3488</v>
      </c>
      <c r="C45" s="252">
        <f>C46</f>
        <v>1512</v>
      </c>
      <c r="D45" s="258"/>
      <c r="E45" s="260">
        <f>E46</f>
        <v>1512</v>
      </c>
      <c r="F45" s="262">
        <f>C45-E45</f>
        <v>0</v>
      </c>
      <c r="G45" s="258"/>
      <c r="H45" s="260">
        <f>H46</f>
        <v>0</v>
      </c>
      <c r="I45" s="262">
        <f>H45-B45</f>
        <v>-3488</v>
      </c>
      <c r="J45" s="258">
        <f>I45/B45*100</f>
        <v>-100</v>
      </c>
    </row>
    <row r="46" s="241" customFormat="1" ht="18" customHeight="1" spans="1:10">
      <c r="A46" s="253" t="s">
        <v>1245</v>
      </c>
      <c r="B46" s="260">
        <v>3488</v>
      </c>
      <c r="C46" s="260">
        <v>1512</v>
      </c>
      <c r="D46" s="258"/>
      <c r="E46" s="260">
        <f>SUM(E47:E51)</f>
        <v>1512</v>
      </c>
      <c r="F46" s="262">
        <f>C46-E46</f>
        <v>0</v>
      </c>
      <c r="G46" s="258"/>
      <c r="H46" s="260">
        <f>SUM(H47:H51)</f>
        <v>0</v>
      </c>
      <c r="I46" s="262">
        <f>H46-B46</f>
        <v>-3488</v>
      </c>
      <c r="J46" s="258">
        <f>I46/B46*100</f>
        <v>-100</v>
      </c>
    </row>
    <row r="47" s="241" customFormat="1" ht="18" customHeight="1" spans="1:10">
      <c r="A47" s="253" t="s">
        <v>1280</v>
      </c>
      <c r="B47" s="280"/>
      <c r="C47" s="259"/>
      <c r="D47" s="258"/>
      <c r="E47" s="260"/>
      <c r="F47" s="262"/>
      <c r="G47" s="258"/>
      <c r="H47" s="260"/>
      <c r="I47" s="262"/>
      <c r="J47" s="258"/>
    </row>
    <row r="48" s="241" customFormat="1" ht="18" customHeight="1" spans="1:10">
      <c r="A48" s="253" t="s">
        <v>1281</v>
      </c>
      <c r="B48" s="280"/>
      <c r="C48" s="259"/>
      <c r="D48" s="258"/>
      <c r="E48" s="260"/>
      <c r="F48" s="262"/>
      <c r="G48" s="258"/>
      <c r="H48" s="260"/>
      <c r="I48" s="262"/>
      <c r="J48" s="258"/>
    </row>
    <row r="49" s="241" customFormat="1" ht="18" customHeight="1" spans="1:10">
      <c r="A49" s="253" t="s">
        <v>1282</v>
      </c>
      <c r="B49" s="280"/>
      <c r="C49" s="259"/>
      <c r="D49" s="258"/>
      <c r="E49" s="260"/>
      <c r="F49" s="262"/>
      <c r="G49" s="258"/>
      <c r="H49" s="260"/>
      <c r="I49" s="262"/>
      <c r="J49" s="258"/>
    </row>
    <row r="50" s="241" customFormat="1" ht="18" customHeight="1" spans="1:10">
      <c r="A50" s="253" t="s">
        <v>1283</v>
      </c>
      <c r="B50" s="280"/>
      <c r="C50" s="259"/>
      <c r="D50" s="258"/>
      <c r="E50" s="260"/>
      <c r="F50" s="262"/>
      <c r="G50" s="258"/>
      <c r="H50" s="260"/>
      <c r="I50" s="262"/>
      <c r="J50" s="258"/>
    </row>
    <row r="51" s="241" customFormat="1" ht="18" customHeight="1" spans="1:10">
      <c r="A51" s="253" t="s">
        <v>1284</v>
      </c>
      <c r="B51" s="280"/>
      <c r="C51" s="259"/>
      <c r="D51" s="258"/>
      <c r="E51" s="260">
        <v>1512</v>
      </c>
      <c r="F51" s="262"/>
      <c r="G51" s="258"/>
      <c r="H51" s="260"/>
      <c r="I51" s="262"/>
      <c r="J51" s="258"/>
    </row>
    <row r="52" s="242" customFormat="1" ht="18" customHeight="1" spans="1:11">
      <c r="A52" s="251" t="s">
        <v>1285</v>
      </c>
      <c r="B52" s="263">
        <f>B53+B58</f>
        <v>0</v>
      </c>
      <c r="C52" s="263">
        <f>C53+C58</f>
        <v>0</v>
      </c>
      <c r="D52" s="258"/>
      <c r="E52" s="262">
        <f>E53+E58</f>
        <v>0</v>
      </c>
      <c r="F52" s="262">
        <f>C52-E52</f>
        <v>0</v>
      </c>
      <c r="G52" s="258"/>
      <c r="H52" s="262">
        <f>H53+H58</f>
        <v>0</v>
      </c>
      <c r="I52" s="262">
        <f>H52-B52</f>
        <v>0</v>
      </c>
      <c r="J52" s="258"/>
      <c r="K52" s="241"/>
    </row>
    <row r="53" s="242" customFormat="1" ht="18" customHeight="1" spans="1:11">
      <c r="A53" s="253" t="s">
        <v>1286</v>
      </c>
      <c r="B53" s="263"/>
      <c r="C53" s="263"/>
      <c r="D53" s="258"/>
      <c r="E53" s="262"/>
      <c r="F53" s="262">
        <f>C53-E53</f>
        <v>0</v>
      </c>
      <c r="G53" s="258"/>
      <c r="H53" s="262">
        <f>SUM(H54:H57)</f>
        <v>0</v>
      </c>
      <c r="I53" s="262">
        <f>H53-B53</f>
        <v>0</v>
      </c>
      <c r="J53" s="258"/>
      <c r="K53" s="241"/>
    </row>
    <row r="54" s="242" customFormat="1" ht="18" customHeight="1" spans="1:11">
      <c r="A54" s="264" t="s">
        <v>1287</v>
      </c>
      <c r="B54" s="281"/>
      <c r="C54" s="263"/>
      <c r="D54" s="258"/>
      <c r="E54" s="262"/>
      <c r="F54" s="262"/>
      <c r="G54" s="258"/>
      <c r="H54" s="262"/>
      <c r="I54" s="262"/>
      <c r="J54" s="258"/>
      <c r="K54" s="241"/>
    </row>
    <row r="55" s="242" customFormat="1" ht="18" customHeight="1" spans="1:11">
      <c r="A55" s="264" t="s">
        <v>1288</v>
      </c>
      <c r="B55" s="281"/>
      <c r="C55" s="263"/>
      <c r="D55" s="258"/>
      <c r="E55" s="262"/>
      <c r="F55" s="262"/>
      <c r="G55" s="258"/>
      <c r="H55" s="262"/>
      <c r="I55" s="262"/>
      <c r="J55" s="258"/>
      <c r="K55" s="241"/>
    </row>
    <row r="56" s="242" customFormat="1" ht="18" customHeight="1" spans="1:11">
      <c r="A56" s="264" t="s">
        <v>1289</v>
      </c>
      <c r="B56" s="281"/>
      <c r="C56" s="263"/>
      <c r="D56" s="258"/>
      <c r="E56" s="262"/>
      <c r="F56" s="262"/>
      <c r="G56" s="258"/>
      <c r="H56" s="262"/>
      <c r="I56" s="262"/>
      <c r="J56" s="258"/>
      <c r="K56" s="241"/>
    </row>
    <row r="57" s="242" customFormat="1" ht="18" customHeight="1" spans="1:11">
      <c r="A57" s="264" t="s">
        <v>1290</v>
      </c>
      <c r="B57" s="281"/>
      <c r="C57" s="263"/>
      <c r="D57" s="258"/>
      <c r="E57" s="262"/>
      <c r="F57" s="262"/>
      <c r="G57" s="258"/>
      <c r="H57" s="262"/>
      <c r="I57" s="262"/>
      <c r="J57" s="258"/>
      <c r="K57" s="241"/>
    </row>
    <row r="58" s="241" customFormat="1" ht="18" customHeight="1" spans="1:10">
      <c r="A58" s="253" t="s">
        <v>1245</v>
      </c>
      <c r="B58" s="280"/>
      <c r="C58" s="259"/>
      <c r="D58" s="258"/>
      <c r="E58" s="260"/>
      <c r="F58" s="262">
        <f>C58-E58</f>
        <v>0</v>
      </c>
      <c r="G58" s="258"/>
      <c r="H58" s="260">
        <f>SUM(H59:H62)</f>
        <v>0</v>
      </c>
      <c r="I58" s="262">
        <f>H58-B58</f>
        <v>0</v>
      </c>
      <c r="J58" s="258"/>
    </row>
    <row r="59" s="241" customFormat="1" ht="18" customHeight="1" spans="1:10">
      <c r="A59" s="253" t="s">
        <v>1291</v>
      </c>
      <c r="B59" s="280"/>
      <c r="C59" s="259"/>
      <c r="D59" s="258"/>
      <c r="E59" s="260"/>
      <c r="F59" s="262"/>
      <c r="G59" s="258"/>
      <c r="H59" s="260"/>
      <c r="I59" s="262"/>
      <c r="J59" s="258"/>
    </row>
    <row r="60" s="241" customFormat="1" ht="18" customHeight="1" spans="1:10">
      <c r="A60" s="253" t="s">
        <v>1292</v>
      </c>
      <c r="B60" s="280"/>
      <c r="C60" s="259"/>
      <c r="D60" s="258"/>
      <c r="E60" s="260"/>
      <c r="F60" s="262"/>
      <c r="G60" s="258"/>
      <c r="H60" s="260"/>
      <c r="I60" s="262"/>
      <c r="J60" s="258"/>
    </row>
    <row r="61" s="241" customFormat="1" ht="18" customHeight="1" spans="1:10">
      <c r="A61" s="253" t="s">
        <v>1293</v>
      </c>
      <c r="B61" s="280"/>
      <c r="C61" s="259"/>
      <c r="D61" s="258"/>
      <c r="E61" s="260"/>
      <c r="F61" s="262"/>
      <c r="G61" s="258"/>
      <c r="H61" s="260"/>
      <c r="I61" s="262"/>
      <c r="J61" s="258"/>
    </row>
    <row r="62" s="241" customFormat="1" ht="18" customHeight="1" spans="1:10">
      <c r="A62" s="253" t="s">
        <v>1294</v>
      </c>
      <c r="B62" s="280"/>
      <c r="C62" s="259"/>
      <c r="D62" s="258"/>
      <c r="E62" s="260"/>
      <c r="F62" s="262"/>
      <c r="G62" s="258"/>
      <c r="H62" s="260"/>
      <c r="I62" s="262"/>
      <c r="J62" s="258"/>
    </row>
    <row r="63" s="242" customFormat="1" ht="18" customHeight="1" spans="1:11">
      <c r="A63" s="251" t="s">
        <v>1295</v>
      </c>
      <c r="B63" s="252">
        <f>B64+B80+B84+B85+B91+B95+B99+B103+B109+B112+B121</f>
        <v>643555.127599</v>
      </c>
      <c r="C63" s="252">
        <f>C64+C80+C84+C85+C91+C95+C99+C103+C109+C112+C121</f>
        <v>596775.458301</v>
      </c>
      <c r="D63" s="258">
        <f>C63/B63*100</f>
        <v>92.7310548402392</v>
      </c>
      <c r="E63" s="252">
        <f>E64+E80+E84+E85+E91+E95+E99+E103+E109+E112+E121</f>
        <v>510917</v>
      </c>
      <c r="F63" s="262">
        <f>C63-E63</f>
        <v>85858.4583009999</v>
      </c>
      <c r="G63" s="258">
        <f>F63/E63*100</f>
        <v>16.8047761771481</v>
      </c>
      <c r="H63" s="252">
        <f>H64+H80+H84+H85+H91+H95+H99+H103+H109+H112+H121</f>
        <v>247298.5</v>
      </c>
      <c r="I63" s="262">
        <f>H63-B63</f>
        <v>-396256.627599</v>
      </c>
      <c r="J63" s="258">
        <f>I63/B63*100</f>
        <v>-61.573066642693</v>
      </c>
      <c r="K63" s="241"/>
    </row>
    <row r="64" s="241" customFormat="1" ht="18" customHeight="1" spans="1:10">
      <c r="A64" s="253" t="s">
        <v>1296</v>
      </c>
      <c r="B64" s="260">
        <v>553337.038599</v>
      </c>
      <c r="C64" s="260">
        <v>137168</v>
      </c>
      <c r="D64" s="258">
        <f>C64/B64*100</f>
        <v>24.7892315951408</v>
      </c>
      <c r="E64" s="260">
        <f>SUM(E65:E79)</f>
        <v>303957</v>
      </c>
      <c r="F64" s="262">
        <f>C64-E64</f>
        <v>-166789</v>
      </c>
      <c r="G64" s="258">
        <f>F64/E64*100</f>
        <v>-54.8725642113852</v>
      </c>
      <c r="H64" s="260">
        <f>SUM(H65:H79)</f>
        <v>134072.5</v>
      </c>
      <c r="I64" s="262">
        <f>H64-B64</f>
        <v>-419264.538599</v>
      </c>
      <c r="J64" s="258">
        <f>I64/B64*100</f>
        <v>-75.7701923696524</v>
      </c>
    </row>
    <row r="65" s="241" customFormat="1" ht="18" customHeight="1" spans="1:10">
      <c r="A65" s="253" t="s">
        <v>1297</v>
      </c>
      <c r="B65" s="283"/>
      <c r="C65" s="259"/>
      <c r="D65" s="258"/>
      <c r="E65" s="260">
        <v>102286</v>
      </c>
      <c r="F65" s="262"/>
      <c r="G65" s="258"/>
      <c r="H65" s="260">
        <f>73359-50000</f>
        <v>23359</v>
      </c>
      <c r="I65" s="262"/>
      <c r="J65" s="258"/>
    </row>
    <row r="66" s="241" customFormat="1" ht="18" customHeight="1" spans="1:10">
      <c r="A66" s="253" t="s">
        <v>1298</v>
      </c>
      <c r="B66" s="283"/>
      <c r="C66" s="259"/>
      <c r="D66" s="258"/>
      <c r="E66" s="260">
        <v>12699</v>
      </c>
      <c r="F66" s="262"/>
      <c r="G66" s="258"/>
      <c r="H66" s="260">
        <v>24900</v>
      </c>
      <c r="I66" s="262"/>
      <c r="J66" s="258"/>
    </row>
    <row r="67" s="241" customFormat="1" ht="18" customHeight="1" spans="1:10">
      <c r="A67" s="253" t="s">
        <v>1299</v>
      </c>
      <c r="B67" s="283"/>
      <c r="C67" s="259"/>
      <c r="D67" s="258"/>
      <c r="E67" s="260">
        <v>10105</v>
      </c>
      <c r="F67" s="262"/>
      <c r="G67" s="258"/>
      <c r="H67" s="260">
        <v>25194</v>
      </c>
      <c r="I67" s="262"/>
      <c r="J67" s="258"/>
    </row>
    <row r="68" s="241" customFormat="1" ht="18" customHeight="1" spans="1:10">
      <c r="A68" s="253" t="s">
        <v>1300</v>
      </c>
      <c r="B68" s="283"/>
      <c r="C68" s="259"/>
      <c r="D68" s="258"/>
      <c r="E68" s="260">
        <v>22280</v>
      </c>
      <c r="F68" s="262"/>
      <c r="G68" s="258"/>
      <c r="H68" s="260">
        <v>15601</v>
      </c>
      <c r="I68" s="262"/>
      <c r="J68" s="258"/>
    </row>
    <row r="69" s="241" customFormat="1" ht="18" customHeight="1" spans="1:10">
      <c r="A69" s="253" t="s">
        <v>1301</v>
      </c>
      <c r="B69" s="283"/>
      <c r="C69" s="259"/>
      <c r="D69" s="258"/>
      <c r="E69" s="260">
        <v>212</v>
      </c>
      <c r="F69" s="262"/>
      <c r="G69" s="258"/>
      <c r="H69" s="260">
        <v>5100</v>
      </c>
      <c r="I69" s="262"/>
      <c r="J69" s="258"/>
    </row>
    <row r="70" s="241" customFormat="1" ht="18" customHeight="1" spans="1:10">
      <c r="A70" s="253" t="s">
        <v>1302</v>
      </c>
      <c r="B70" s="280"/>
      <c r="C70" s="259"/>
      <c r="D70" s="258"/>
      <c r="E70" s="260">
        <v>4879</v>
      </c>
      <c r="F70" s="262"/>
      <c r="G70" s="258"/>
      <c r="H70" s="260">
        <v>1700</v>
      </c>
      <c r="I70" s="262"/>
      <c r="J70" s="258"/>
    </row>
    <row r="71" s="241" customFormat="1" ht="18" customHeight="1" spans="1:10">
      <c r="A71" s="253" t="s">
        <v>1303</v>
      </c>
      <c r="B71" s="283"/>
      <c r="C71" s="259"/>
      <c r="D71" s="258"/>
      <c r="E71" s="260"/>
      <c r="F71" s="262"/>
      <c r="G71" s="258"/>
      <c r="H71" s="260">
        <v>100</v>
      </c>
      <c r="I71" s="262"/>
      <c r="J71" s="258"/>
    </row>
    <row r="72" s="241" customFormat="1" ht="18" customHeight="1" spans="1:10">
      <c r="A72" s="253" t="s">
        <v>1304</v>
      </c>
      <c r="B72" s="280"/>
      <c r="C72" s="259"/>
      <c r="D72" s="258"/>
      <c r="E72" s="260">
        <v>282</v>
      </c>
      <c r="F72" s="262"/>
      <c r="G72" s="258"/>
      <c r="H72" s="260">
        <v>500</v>
      </c>
      <c r="I72" s="262"/>
      <c r="J72" s="258"/>
    </row>
    <row r="73" s="241" customFormat="1" ht="18" customHeight="1" spans="1:10">
      <c r="A73" s="253" t="s">
        <v>1305</v>
      </c>
      <c r="B73" s="283"/>
      <c r="C73" s="259"/>
      <c r="D73" s="258"/>
      <c r="E73" s="260">
        <v>7887</v>
      </c>
      <c r="F73" s="262"/>
      <c r="G73" s="258"/>
      <c r="H73" s="260">
        <v>3131.5</v>
      </c>
      <c r="I73" s="262"/>
      <c r="J73" s="258"/>
    </row>
    <row r="74" s="241" customFormat="1" ht="18" customHeight="1" spans="1:10">
      <c r="A74" s="253" t="s">
        <v>1306</v>
      </c>
      <c r="B74" s="283"/>
      <c r="C74" s="259"/>
      <c r="D74" s="258"/>
      <c r="E74" s="260"/>
      <c r="F74" s="262"/>
      <c r="G74" s="258"/>
      <c r="H74" s="260">
        <v>300</v>
      </c>
      <c r="I74" s="262"/>
      <c r="J74" s="258"/>
    </row>
    <row r="75" s="241" customFormat="1" ht="18" customHeight="1" spans="1:10">
      <c r="A75" s="253" t="s">
        <v>1307</v>
      </c>
      <c r="B75" s="280"/>
      <c r="C75" s="259"/>
      <c r="D75" s="258"/>
      <c r="E75" s="260"/>
      <c r="F75" s="262"/>
      <c r="G75" s="258"/>
      <c r="H75" s="260">
        <v>0</v>
      </c>
      <c r="I75" s="262"/>
      <c r="J75" s="258"/>
    </row>
    <row r="76" s="241" customFormat="1" ht="18" customHeight="1" spans="1:10">
      <c r="A76" s="253" t="s">
        <v>1308</v>
      </c>
      <c r="B76" s="283"/>
      <c r="C76" s="259"/>
      <c r="D76" s="258"/>
      <c r="E76" s="260">
        <v>11186</v>
      </c>
      <c r="F76" s="262"/>
      <c r="G76" s="258"/>
      <c r="H76" s="260">
        <v>9808</v>
      </c>
      <c r="I76" s="262"/>
      <c r="J76" s="258"/>
    </row>
    <row r="77" s="241" customFormat="1" ht="18" customHeight="1" spans="1:10">
      <c r="A77" s="253" t="s">
        <v>1309</v>
      </c>
      <c r="B77" s="283"/>
      <c r="C77" s="259"/>
      <c r="D77" s="258"/>
      <c r="E77" s="260">
        <v>2503</v>
      </c>
      <c r="F77" s="262"/>
      <c r="G77" s="258"/>
      <c r="H77" s="260">
        <v>2625</v>
      </c>
      <c r="I77" s="262"/>
      <c r="J77" s="258"/>
    </row>
    <row r="78" s="241" customFormat="1" ht="18" customHeight="1" spans="1:10">
      <c r="A78" s="253" t="s">
        <v>1310</v>
      </c>
      <c r="B78" s="283"/>
      <c r="C78" s="259"/>
      <c r="D78" s="258"/>
      <c r="E78" s="260">
        <v>7069</v>
      </c>
      <c r="F78" s="262"/>
      <c r="G78" s="258"/>
      <c r="H78" s="260">
        <v>3778</v>
      </c>
      <c r="I78" s="262"/>
      <c r="J78" s="258"/>
    </row>
    <row r="79" s="241" customFormat="1" ht="18" customHeight="1" spans="1:10">
      <c r="A79" s="253" t="s">
        <v>1311</v>
      </c>
      <c r="B79" s="283"/>
      <c r="C79" s="259"/>
      <c r="D79" s="258"/>
      <c r="E79" s="260">
        <v>122569</v>
      </c>
      <c r="F79" s="262"/>
      <c r="G79" s="258"/>
      <c r="H79" s="260">
        <f>57976-40000</f>
        <v>17976</v>
      </c>
      <c r="I79" s="262"/>
      <c r="J79" s="258"/>
    </row>
    <row r="80" s="241" customFormat="1" ht="18" customHeight="1" spans="1:10">
      <c r="A80" s="253" t="s">
        <v>1312</v>
      </c>
      <c r="B80" s="260">
        <v>519</v>
      </c>
      <c r="C80" s="260"/>
      <c r="D80" s="258"/>
      <c r="E80" s="260">
        <f>SUM(E81:E83)</f>
        <v>0</v>
      </c>
      <c r="F80" s="262">
        <f>C80-E80</f>
        <v>0</v>
      </c>
      <c r="G80" s="258"/>
      <c r="H80" s="260">
        <f>SUM(H81:H83)</f>
        <v>511</v>
      </c>
      <c r="I80" s="262"/>
      <c r="J80" s="258">
        <f>I80/B80*100</f>
        <v>0</v>
      </c>
    </row>
    <row r="81" s="241" customFormat="1" ht="18" customHeight="1" spans="1:10">
      <c r="A81" s="253" t="s">
        <v>1297</v>
      </c>
      <c r="B81" s="280"/>
      <c r="C81" s="259"/>
      <c r="D81" s="258"/>
      <c r="E81" s="260"/>
      <c r="F81" s="262"/>
      <c r="G81" s="258"/>
      <c r="H81" s="260">
        <v>370</v>
      </c>
      <c r="I81" s="262"/>
      <c r="J81" s="258"/>
    </row>
    <row r="82" s="241" customFormat="1" ht="18" customHeight="1" spans="1:10">
      <c r="A82" s="253" t="s">
        <v>1298</v>
      </c>
      <c r="B82" s="280"/>
      <c r="C82" s="259"/>
      <c r="D82" s="258"/>
      <c r="E82" s="260"/>
      <c r="F82" s="262"/>
      <c r="G82" s="258"/>
      <c r="H82" s="260">
        <v>81</v>
      </c>
      <c r="I82" s="262"/>
      <c r="J82" s="258"/>
    </row>
    <row r="83" s="241" customFormat="1" ht="18" customHeight="1" spans="1:10">
      <c r="A83" s="253" t="s">
        <v>1313</v>
      </c>
      <c r="B83" s="280"/>
      <c r="C83" s="259"/>
      <c r="D83" s="258"/>
      <c r="E83" s="260"/>
      <c r="F83" s="262"/>
      <c r="G83" s="258"/>
      <c r="H83" s="260">
        <v>60</v>
      </c>
      <c r="I83" s="262"/>
      <c r="J83" s="258"/>
    </row>
    <row r="84" s="241" customFormat="1" ht="18" customHeight="1" spans="1:10">
      <c r="A84" s="253" t="s">
        <v>1314</v>
      </c>
      <c r="B84" s="260">
        <v>19</v>
      </c>
      <c r="C84" s="260"/>
      <c r="D84" s="258"/>
      <c r="E84" s="260"/>
      <c r="F84" s="262">
        <f>C84-E84</f>
        <v>0</v>
      </c>
      <c r="G84" s="258"/>
      <c r="H84" s="260">
        <v>19</v>
      </c>
      <c r="I84" s="262">
        <f>H84-B84</f>
        <v>0</v>
      </c>
      <c r="J84" s="258">
        <f>I84/B84*100</f>
        <v>0</v>
      </c>
    </row>
    <row r="85" s="241" customFormat="1" ht="18" customHeight="1" spans="1:10">
      <c r="A85" s="253" t="s">
        <v>1315</v>
      </c>
      <c r="B85" s="260">
        <v>20570.169</v>
      </c>
      <c r="C85" s="260">
        <v>5895</v>
      </c>
      <c r="D85" s="258">
        <f>C85/B85*100</f>
        <v>28.6580047057465</v>
      </c>
      <c r="E85" s="260">
        <f>SUM(E86:E90)</f>
        <v>6816</v>
      </c>
      <c r="F85" s="262">
        <f>C85-E85</f>
        <v>-921</v>
      </c>
      <c r="G85" s="258">
        <f>F85/E85*100</f>
        <v>-13.512323943662</v>
      </c>
      <c r="H85" s="260">
        <f>SUM(H86:H90)</f>
        <v>13839</v>
      </c>
      <c r="I85" s="262">
        <f>H85-B85</f>
        <v>-6731.169</v>
      </c>
      <c r="J85" s="258">
        <f>I85/B85*100</f>
        <v>-32.7229640164843</v>
      </c>
    </row>
    <row r="86" s="241" customFormat="1" ht="18" customHeight="1" spans="1:10">
      <c r="A86" s="253" t="s">
        <v>1316</v>
      </c>
      <c r="B86" s="283"/>
      <c r="C86" s="259"/>
      <c r="D86" s="258"/>
      <c r="E86" s="260">
        <v>3522</v>
      </c>
      <c r="F86" s="262"/>
      <c r="G86" s="258"/>
      <c r="H86" s="260">
        <v>7740</v>
      </c>
      <c r="I86" s="262"/>
      <c r="J86" s="258"/>
    </row>
    <row r="87" s="241" customFormat="1" ht="18" customHeight="1" spans="1:10">
      <c r="A87" s="253" t="s">
        <v>1317</v>
      </c>
      <c r="B87" s="280"/>
      <c r="C87" s="259"/>
      <c r="D87" s="258"/>
      <c r="E87" s="260">
        <v>1080</v>
      </c>
      <c r="F87" s="262"/>
      <c r="G87" s="258"/>
      <c r="H87" s="260">
        <v>2509</v>
      </c>
      <c r="I87" s="262"/>
      <c r="J87" s="258"/>
    </row>
    <row r="88" s="241" customFormat="1" ht="18" customHeight="1" spans="1:10">
      <c r="A88" s="253" t="s">
        <v>1318</v>
      </c>
      <c r="B88" s="280"/>
      <c r="C88" s="259"/>
      <c r="D88" s="258"/>
      <c r="E88" s="260"/>
      <c r="F88" s="262"/>
      <c r="G88" s="258"/>
      <c r="H88" s="260">
        <v>0</v>
      </c>
      <c r="I88" s="262"/>
      <c r="J88" s="258"/>
    </row>
    <row r="89" s="241" customFormat="1" ht="18" customHeight="1" spans="1:10">
      <c r="A89" s="253" t="s">
        <v>1319</v>
      </c>
      <c r="B89" s="280"/>
      <c r="C89" s="259"/>
      <c r="D89" s="258"/>
      <c r="E89" s="260"/>
      <c r="F89" s="262"/>
      <c r="G89" s="258"/>
      <c r="H89" s="260">
        <v>0</v>
      </c>
      <c r="I89" s="262"/>
      <c r="J89" s="258"/>
    </row>
    <row r="90" s="241" customFormat="1" ht="18" customHeight="1" spans="1:10">
      <c r="A90" s="253" t="s">
        <v>1320</v>
      </c>
      <c r="B90" s="283"/>
      <c r="C90" s="259"/>
      <c r="D90" s="258"/>
      <c r="E90" s="260">
        <v>2214</v>
      </c>
      <c r="F90" s="262"/>
      <c r="G90" s="258"/>
      <c r="H90" s="260">
        <v>3590</v>
      </c>
      <c r="I90" s="262"/>
      <c r="J90" s="258"/>
    </row>
    <row r="91" s="241" customFormat="1" ht="18" customHeight="1" spans="1:10">
      <c r="A91" s="253" t="s">
        <v>1321</v>
      </c>
      <c r="B91" s="260">
        <v>9163</v>
      </c>
      <c r="C91" s="260">
        <v>3346</v>
      </c>
      <c r="D91" s="258">
        <f>C91/B91*100</f>
        <v>36.5164247517189</v>
      </c>
      <c r="E91" s="260">
        <f>SUM(E92:E94)</f>
        <v>3500</v>
      </c>
      <c r="F91" s="262">
        <f>C91-E91</f>
        <v>-154</v>
      </c>
      <c r="G91" s="258">
        <f>F91/E91*100</f>
        <v>-4.4</v>
      </c>
      <c r="H91" s="260">
        <f>SUM(H92:H94)</f>
        <v>9413</v>
      </c>
      <c r="I91" s="262">
        <f>H91-B91</f>
        <v>250</v>
      </c>
      <c r="J91" s="258">
        <f>I91/B91*100</f>
        <v>2.72836407290189</v>
      </c>
    </row>
    <row r="92" s="241" customFormat="1" ht="18" customHeight="1" spans="1:10">
      <c r="A92" s="253" t="s">
        <v>1322</v>
      </c>
      <c r="B92" s="283"/>
      <c r="C92" s="259"/>
      <c r="D92" s="258"/>
      <c r="E92" s="260">
        <v>2865</v>
      </c>
      <c r="F92" s="262"/>
      <c r="G92" s="258"/>
      <c r="H92" s="260">
        <v>7713</v>
      </c>
      <c r="I92" s="262"/>
      <c r="J92" s="258"/>
    </row>
    <row r="93" s="241" customFormat="1" ht="18" customHeight="1" spans="1:10">
      <c r="A93" s="253" t="s">
        <v>1323</v>
      </c>
      <c r="B93" s="280"/>
      <c r="C93" s="259"/>
      <c r="D93" s="258"/>
      <c r="E93" s="260">
        <v>64</v>
      </c>
      <c r="F93" s="262"/>
      <c r="G93" s="258"/>
      <c r="H93" s="260">
        <v>100</v>
      </c>
      <c r="I93" s="262"/>
      <c r="J93" s="258"/>
    </row>
    <row r="94" s="241" customFormat="1" ht="18" customHeight="1" spans="1:10">
      <c r="A94" s="253" t="s">
        <v>1324</v>
      </c>
      <c r="B94" s="280"/>
      <c r="C94" s="259"/>
      <c r="D94" s="258"/>
      <c r="E94" s="260">
        <v>571</v>
      </c>
      <c r="F94" s="262"/>
      <c r="G94" s="258"/>
      <c r="H94" s="260">
        <v>1600</v>
      </c>
      <c r="I94" s="262"/>
      <c r="J94" s="258"/>
    </row>
    <row r="95" s="241" customFormat="1" ht="18" customHeight="1" spans="1:10">
      <c r="A95" s="253" t="s">
        <v>1325</v>
      </c>
      <c r="B95" s="280"/>
      <c r="C95" s="259"/>
      <c r="D95" s="258"/>
      <c r="E95" s="260">
        <f>SUM(E96:E98)</f>
        <v>0</v>
      </c>
      <c r="F95" s="262">
        <f>C95-E95</f>
        <v>0</v>
      </c>
      <c r="G95" s="258"/>
      <c r="H95" s="260">
        <f>SUM(H96:H98)</f>
        <v>2500</v>
      </c>
      <c r="I95" s="262">
        <f>H95-B95</f>
        <v>2500</v>
      </c>
      <c r="J95" s="258"/>
    </row>
    <row r="96" s="241" customFormat="1" ht="18" customHeight="1" spans="1:10">
      <c r="A96" s="253" t="s">
        <v>1297</v>
      </c>
      <c r="B96" s="280"/>
      <c r="C96" s="259"/>
      <c r="D96" s="258"/>
      <c r="E96" s="260"/>
      <c r="F96" s="262"/>
      <c r="G96" s="258"/>
      <c r="H96" s="260">
        <v>0</v>
      </c>
      <c r="I96" s="262"/>
      <c r="J96" s="258"/>
    </row>
    <row r="97" s="241" customFormat="1" ht="18" customHeight="1" spans="1:10">
      <c r="A97" s="253" t="s">
        <v>1298</v>
      </c>
      <c r="B97" s="280"/>
      <c r="C97" s="259"/>
      <c r="D97" s="258"/>
      <c r="E97" s="260"/>
      <c r="F97" s="262"/>
      <c r="G97" s="258"/>
      <c r="H97" s="260">
        <v>0</v>
      </c>
      <c r="I97" s="262"/>
      <c r="J97" s="258"/>
    </row>
    <row r="98" s="241" customFormat="1" ht="18" customHeight="1" spans="1:10">
      <c r="A98" s="253" t="s">
        <v>1326</v>
      </c>
      <c r="B98" s="280"/>
      <c r="C98" s="259"/>
      <c r="D98" s="258"/>
      <c r="E98" s="260"/>
      <c r="F98" s="262"/>
      <c r="G98" s="258"/>
      <c r="H98" s="260">
        <v>2500</v>
      </c>
      <c r="I98" s="262"/>
      <c r="J98" s="258"/>
    </row>
    <row r="99" s="241" customFormat="1" ht="18" customHeight="1" spans="1:10">
      <c r="A99" s="253" t="s">
        <v>1327</v>
      </c>
      <c r="B99" s="260">
        <v>5918</v>
      </c>
      <c r="C99" s="260">
        <v>45800</v>
      </c>
      <c r="D99" s="258"/>
      <c r="E99" s="260">
        <f>SUM(E100:E102)</f>
        <v>23800</v>
      </c>
      <c r="F99" s="262">
        <f>C99-E99</f>
        <v>22000</v>
      </c>
      <c r="G99" s="258">
        <f>F99/E99*100</f>
        <v>92.436974789916</v>
      </c>
      <c r="H99" s="260">
        <f>SUM(H100:H102)</f>
        <v>5100</v>
      </c>
      <c r="I99" s="262">
        <f>H99-B99</f>
        <v>-818</v>
      </c>
      <c r="J99" s="258">
        <f>I99/B99*100</f>
        <v>-13.8222372423116</v>
      </c>
    </row>
    <row r="100" s="241" customFormat="1" ht="18" customHeight="1" spans="1:10">
      <c r="A100" s="253" t="s">
        <v>1297</v>
      </c>
      <c r="B100" s="280"/>
      <c r="C100" s="259"/>
      <c r="D100" s="258"/>
      <c r="E100" s="260"/>
      <c r="F100" s="262"/>
      <c r="G100" s="258"/>
      <c r="H100" s="260">
        <v>0</v>
      </c>
      <c r="I100" s="262"/>
      <c r="J100" s="258"/>
    </row>
    <row r="101" s="241" customFormat="1" ht="18" customHeight="1" spans="1:10">
      <c r="A101" s="253" t="s">
        <v>1298</v>
      </c>
      <c r="B101" s="280"/>
      <c r="C101" s="259"/>
      <c r="D101" s="258"/>
      <c r="E101" s="260"/>
      <c r="F101" s="262"/>
      <c r="G101" s="258"/>
      <c r="H101" s="260">
        <v>0</v>
      </c>
      <c r="I101" s="262"/>
      <c r="J101" s="258"/>
    </row>
    <row r="102" s="241" customFormat="1" ht="18" customHeight="1" spans="1:10">
      <c r="A102" s="253" t="s">
        <v>1328</v>
      </c>
      <c r="B102" s="280"/>
      <c r="C102" s="259"/>
      <c r="D102" s="258"/>
      <c r="E102" s="260">
        <v>23800</v>
      </c>
      <c r="F102" s="262"/>
      <c r="G102" s="258"/>
      <c r="H102" s="260">
        <v>5100</v>
      </c>
      <c r="I102" s="262"/>
      <c r="J102" s="258"/>
    </row>
    <row r="103" s="241" customFormat="1" ht="20" customHeight="1" spans="1:10">
      <c r="A103" s="253" t="s">
        <v>1329</v>
      </c>
      <c r="B103" s="280"/>
      <c r="C103" s="259"/>
      <c r="D103" s="258"/>
      <c r="E103" s="260">
        <f>SUM(E104:E108)</f>
        <v>0</v>
      </c>
      <c r="F103" s="262">
        <f>C103-E103</f>
        <v>0</v>
      </c>
      <c r="G103" s="258"/>
      <c r="H103" s="260"/>
      <c r="I103" s="262">
        <f>H103-B103</f>
        <v>0</v>
      </c>
      <c r="J103" s="258"/>
    </row>
    <row r="104" s="241" customFormat="1" ht="18" customHeight="1" spans="1:10">
      <c r="A104" s="253" t="s">
        <v>1316</v>
      </c>
      <c r="B104" s="280"/>
      <c r="C104" s="259"/>
      <c r="D104" s="258"/>
      <c r="E104" s="260"/>
      <c r="F104" s="262"/>
      <c r="G104" s="258"/>
      <c r="H104" s="260"/>
      <c r="I104" s="262"/>
      <c r="J104" s="258"/>
    </row>
    <row r="105" s="241" customFormat="1" ht="18" customHeight="1" spans="1:10">
      <c r="A105" s="253" t="s">
        <v>1317</v>
      </c>
      <c r="B105" s="280"/>
      <c r="C105" s="259"/>
      <c r="D105" s="258"/>
      <c r="E105" s="260"/>
      <c r="F105" s="262"/>
      <c r="G105" s="258"/>
      <c r="H105" s="260"/>
      <c r="I105" s="262"/>
      <c r="J105" s="258"/>
    </row>
    <row r="106" s="241" customFormat="1" ht="18" customHeight="1" spans="1:10">
      <c r="A106" s="253" t="s">
        <v>1318</v>
      </c>
      <c r="B106" s="280"/>
      <c r="C106" s="259"/>
      <c r="D106" s="258"/>
      <c r="E106" s="260"/>
      <c r="F106" s="262"/>
      <c r="G106" s="258"/>
      <c r="H106" s="260"/>
      <c r="I106" s="262"/>
      <c r="J106" s="258"/>
    </row>
    <row r="107" s="241" customFormat="1" ht="18" customHeight="1" spans="1:10">
      <c r="A107" s="253" t="s">
        <v>1319</v>
      </c>
      <c r="B107" s="280"/>
      <c r="C107" s="259"/>
      <c r="D107" s="258"/>
      <c r="E107" s="260"/>
      <c r="F107" s="262"/>
      <c r="G107" s="258"/>
      <c r="H107" s="260"/>
      <c r="I107" s="262"/>
      <c r="J107" s="258"/>
    </row>
    <row r="108" s="241" customFormat="1" ht="18" customHeight="1" spans="1:10">
      <c r="A108" s="253" t="s">
        <v>1330</v>
      </c>
      <c r="B108" s="280"/>
      <c r="C108" s="259"/>
      <c r="D108" s="258"/>
      <c r="E108" s="260"/>
      <c r="F108" s="262"/>
      <c r="G108" s="258"/>
      <c r="H108" s="260"/>
      <c r="I108" s="262"/>
      <c r="J108" s="258"/>
    </row>
    <row r="109" s="241" customFormat="1" ht="18" customHeight="1" spans="1:10">
      <c r="A109" s="253" t="s">
        <v>1331</v>
      </c>
      <c r="B109" s="280"/>
      <c r="C109" s="259"/>
      <c r="D109" s="258"/>
      <c r="E109" s="260">
        <f>SUM(E110:E111)</f>
        <v>0</v>
      </c>
      <c r="F109" s="262">
        <f>C109-E109</f>
        <v>0</v>
      </c>
      <c r="G109" s="258"/>
      <c r="H109" s="260"/>
      <c r="I109" s="262">
        <f>H109-B109</f>
        <v>0</v>
      </c>
      <c r="J109" s="258"/>
    </row>
    <row r="110" s="241" customFormat="1" ht="18" customHeight="1" spans="1:10">
      <c r="A110" s="253" t="s">
        <v>1322</v>
      </c>
      <c r="B110" s="280"/>
      <c r="C110" s="259"/>
      <c r="D110" s="258"/>
      <c r="E110" s="260"/>
      <c r="F110" s="262"/>
      <c r="G110" s="258"/>
      <c r="H110" s="260"/>
      <c r="I110" s="262"/>
      <c r="J110" s="258"/>
    </row>
    <row r="111" s="241" customFormat="1" ht="18" customHeight="1" spans="1:10">
      <c r="A111" s="253" t="s">
        <v>1332</v>
      </c>
      <c r="B111" s="280"/>
      <c r="C111" s="259"/>
      <c r="D111" s="258"/>
      <c r="E111" s="260"/>
      <c r="F111" s="262"/>
      <c r="G111" s="258"/>
      <c r="H111" s="260"/>
      <c r="I111" s="262"/>
      <c r="J111" s="258"/>
    </row>
    <row r="112" s="241" customFormat="1" ht="18" customHeight="1" spans="1:10">
      <c r="A112" s="253" t="s">
        <v>1333</v>
      </c>
      <c r="B112" s="260">
        <v>17698.92</v>
      </c>
      <c r="C112" s="260">
        <v>372297</v>
      </c>
      <c r="D112" s="258">
        <f>C112/B112*100</f>
        <v>2103.50123058356</v>
      </c>
      <c r="E112" s="260">
        <f>SUM(E113:E120)</f>
        <v>172664</v>
      </c>
      <c r="F112" s="262">
        <f>C112-E112</f>
        <v>199633</v>
      </c>
      <c r="G112" s="258">
        <f>F112/E112*100</f>
        <v>115.619353194644</v>
      </c>
      <c r="H112" s="260">
        <f>SUM(H113:H120)</f>
        <v>24167</v>
      </c>
      <c r="I112" s="262">
        <f>H112-B112</f>
        <v>6468.08</v>
      </c>
      <c r="J112" s="258">
        <f>I112/B112*100</f>
        <v>36.5450547265031</v>
      </c>
    </row>
    <row r="113" s="241" customFormat="1" ht="18" customHeight="1" spans="1:10">
      <c r="A113" s="253" t="s">
        <v>1297</v>
      </c>
      <c r="B113" s="280"/>
      <c r="C113" s="259"/>
      <c r="D113" s="258"/>
      <c r="E113" s="260">
        <v>300</v>
      </c>
      <c r="F113" s="262"/>
      <c r="G113" s="258"/>
      <c r="H113" s="260">
        <v>0</v>
      </c>
      <c r="I113" s="262"/>
      <c r="J113" s="258"/>
    </row>
    <row r="114" s="241" customFormat="1" ht="18" customHeight="1" spans="1:10">
      <c r="A114" s="253" t="s">
        <v>1298</v>
      </c>
      <c r="B114" s="280"/>
      <c r="C114" s="259"/>
      <c r="D114" s="258"/>
      <c r="E114" s="260"/>
      <c r="F114" s="262"/>
      <c r="G114" s="258"/>
      <c r="H114" s="260">
        <v>0</v>
      </c>
      <c r="I114" s="262"/>
      <c r="J114" s="258"/>
    </row>
    <row r="115" s="241" customFormat="1" ht="18" customHeight="1" spans="1:10">
      <c r="A115" s="253" t="s">
        <v>1299</v>
      </c>
      <c r="B115" s="280"/>
      <c r="C115" s="259"/>
      <c r="D115" s="258"/>
      <c r="E115" s="260">
        <v>69952</v>
      </c>
      <c r="F115" s="262"/>
      <c r="G115" s="258"/>
      <c r="H115" s="260">
        <v>6432</v>
      </c>
      <c r="I115" s="262"/>
      <c r="J115" s="258"/>
    </row>
    <row r="116" s="241" customFormat="1" ht="18" customHeight="1" spans="1:10">
      <c r="A116" s="253" t="s">
        <v>1300</v>
      </c>
      <c r="B116" s="280"/>
      <c r="C116" s="259"/>
      <c r="D116" s="258"/>
      <c r="E116" s="260">
        <v>14356</v>
      </c>
      <c r="F116" s="262"/>
      <c r="G116" s="258"/>
      <c r="H116" s="260">
        <v>0</v>
      </c>
      <c r="I116" s="262"/>
      <c r="J116" s="258"/>
    </row>
    <row r="117" s="241" customFormat="1" ht="18" customHeight="1" spans="1:10">
      <c r="A117" s="253" t="s">
        <v>1303</v>
      </c>
      <c r="B117" s="280"/>
      <c r="C117" s="259"/>
      <c r="D117" s="258"/>
      <c r="E117" s="260"/>
      <c r="F117" s="262"/>
      <c r="G117" s="258"/>
      <c r="H117" s="260">
        <v>0</v>
      </c>
      <c r="I117" s="262"/>
      <c r="J117" s="258"/>
    </row>
    <row r="118" s="241" customFormat="1" ht="18" customHeight="1" spans="1:10">
      <c r="A118" s="253" t="s">
        <v>1305</v>
      </c>
      <c r="B118" s="280"/>
      <c r="C118" s="259"/>
      <c r="D118" s="258"/>
      <c r="E118" s="260">
        <v>100</v>
      </c>
      <c r="F118" s="262"/>
      <c r="G118" s="258"/>
      <c r="H118" s="260">
        <v>0</v>
      </c>
      <c r="I118" s="262"/>
      <c r="J118" s="258"/>
    </row>
    <row r="119" s="241" customFormat="1" ht="18" customHeight="1" spans="1:10">
      <c r="A119" s="253" t="s">
        <v>1306</v>
      </c>
      <c r="B119" s="280"/>
      <c r="C119" s="259"/>
      <c r="D119" s="258"/>
      <c r="E119" s="260"/>
      <c r="F119" s="262"/>
      <c r="G119" s="258"/>
      <c r="H119" s="260">
        <v>0</v>
      </c>
      <c r="I119" s="262"/>
      <c r="J119" s="258"/>
    </row>
    <row r="120" s="241" customFormat="1" ht="18" customHeight="1" spans="1:10">
      <c r="A120" s="253" t="s">
        <v>1334</v>
      </c>
      <c r="B120" s="283"/>
      <c r="C120" s="259"/>
      <c r="D120" s="258"/>
      <c r="E120" s="260">
        <v>87956</v>
      </c>
      <c r="F120" s="262"/>
      <c r="G120" s="258"/>
      <c r="H120" s="260">
        <v>17735</v>
      </c>
      <c r="I120" s="262"/>
      <c r="J120" s="258"/>
    </row>
    <row r="121" s="241" customFormat="1" ht="18" customHeight="1" spans="1:10">
      <c r="A121" s="253" t="s">
        <v>1245</v>
      </c>
      <c r="B121" s="260">
        <v>36330</v>
      </c>
      <c r="C121" s="260">
        <v>32269.458301</v>
      </c>
      <c r="D121" s="258"/>
      <c r="E121" s="260">
        <f>SUM(E122:E123)</f>
        <v>180</v>
      </c>
      <c r="F121" s="262">
        <f t="shared" ref="F121:F125" si="1">C121-E121</f>
        <v>32089.458301</v>
      </c>
      <c r="G121" s="258"/>
      <c r="H121" s="260">
        <f>SUM(H122:H123)</f>
        <v>57677</v>
      </c>
      <c r="I121" s="262">
        <f t="shared" ref="I121:I125" si="2">H121-B121</f>
        <v>21347</v>
      </c>
      <c r="J121" s="258">
        <f>I121/B121*100</f>
        <v>58.7586017065786</v>
      </c>
    </row>
    <row r="122" s="241" customFormat="1" ht="18" customHeight="1" spans="1:10">
      <c r="A122" s="253" t="s">
        <v>1335</v>
      </c>
      <c r="B122" s="280"/>
      <c r="C122" s="259"/>
      <c r="D122" s="258"/>
      <c r="E122" s="260">
        <v>180</v>
      </c>
      <c r="F122" s="262"/>
      <c r="G122" s="258"/>
      <c r="H122" s="260">
        <v>0</v>
      </c>
      <c r="I122" s="262"/>
      <c r="J122" s="258"/>
    </row>
    <row r="123" s="241" customFormat="1" ht="18" customHeight="1" spans="1:10">
      <c r="A123" s="253" t="s">
        <v>1336</v>
      </c>
      <c r="B123" s="280"/>
      <c r="C123" s="259"/>
      <c r="D123" s="258"/>
      <c r="E123" s="260"/>
      <c r="F123" s="262"/>
      <c r="G123" s="258"/>
      <c r="H123" s="260">
        <f>27677+30000</f>
        <v>57677</v>
      </c>
      <c r="I123" s="262"/>
      <c r="J123" s="258"/>
    </row>
    <row r="124" s="242" customFormat="1" ht="18" customHeight="1" spans="1:11">
      <c r="A124" s="251" t="s">
        <v>1337</v>
      </c>
      <c r="B124" s="252">
        <f>B125+B130+B134+B135+B136+B140+B144+B145</f>
        <v>81213.811382</v>
      </c>
      <c r="C124" s="252">
        <f>C125+C130+C134+C135+C136+C140+C144+C145</f>
        <v>44621.42937</v>
      </c>
      <c r="D124" s="258">
        <f>C124/B124*100</f>
        <v>54.9431538930209</v>
      </c>
      <c r="E124" s="252">
        <f>E125+E130+E134+E135+E136+E140+E144+E145</f>
        <v>21296</v>
      </c>
      <c r="F124" s="262">
        <f t="shared" si="1"/>
        <v>23325.42937</v>
      </c>
      <c r="G124" s="258">
        <f>F124/E124*100</f>
        <v>109.529627019159</v>
      </c>
      <c r="H124" s="252">
        <f>H125+H130+H134+H135+H136+H140+H144+H145</f>
        <v>57117</v>
      </c>
      <c r="I124" s="262">
        <f t="shared" si="2"/>
        <v>-24096.811382</v>
      </c>
      <c r="J124" s="258">
        <f>I124/B124*100</f>
        <v>-29.6708293478032</v>
      </c>
      <c r="K124" s="241"/>
    </row>
    <row r="125" s="241" customFormat="1" ht="18" customHeight="1" spans="1:10">
      <c r="A125" s="253" t="s">
        <v>1338</v>
      </c>
      <c r="B125" s="260">
        <v>6508</v>
      </c>
      <c r="C125" s="260">
        <v>2705</v>
      </c>
      <c r="D125" s="258">
        <f>C125/B125*100</f>
        <v>41.5642286416718</v>
      </c>
      <c r="E125" s="260">
        <f>SUM(E126:E129)</f>
        <v>320</v>
      </c>
      <c r="F125" s="262">
        <f t="shared" si="1"/>
        <v>2385</v>
      </c>
      <c r="G125" s="258">
        <f>F125/E125*100</f>
        <v>745.3125</v>
      </c>
      <c r="H125" s="260">
        <f>SUM(H126:H129)</f>
        <v>8651</v>
      </c>
      <c r="I125" s="262">
        <f t="shared" si="2"/>
        <v>2143</v>
      </c>
      <c r="J125" s="258">
        <f>I125/B125*100</f>
        <v>32.9287031346036</v>
      </c>
    </row>
    <row r="126" s="241" customFormat="1" ht="18" customHeight="1" spans="1:10">
      <c r="A126" s="253" t="s">
        <v>1339</v>
      </c>
      <c r="B126" s="283"/>
      <c r="C126" s="259"/>
      <c r="D126" s="258"/>
      <c r="E126" s="260">
        <v>320</v>
      </c>
      <c r="F126" s="262"/>
      <c r="G126" s="258"/>
      <c r="H126" s="260">
        <v>7534</v>
      </c>
      <c r="I126" s="262"/>
      <c r="J126" s="258"/>
    </row>
    <row r="127" s="241" customFormat="1" ht="18" customHeight="1" spans="1:10">
      <c r="A127" s="253" t="s">
        <v>1340</v>
      </c>
      <c r="B127" s="280"/>
      <c r="C127" s="259"/>
      <c r="D127" s="258"/>
      <c r="E127" s="260"/>
      <c r="F127" s="262"/>
      <c r="G127" s="258"/>
      <c r="H127" s="260">
        <v>0</v>
      </c>
      <c r="I127" s="262"/>
      <c r="J127" s="258"/>
    </row>
    <row r="128" s="241" customFormat="1" ht="18" customHeight="1" spans="1:10">
      <c r="A128" s="253" t="s">
        <v>1341</v>
      </c>
      <c r="B128" s="280"/>
      <c r="C128" s="259"/>
      <c r="D128" s="258"/>
      <c r="E128" s="260"/>
      <c r="F128" s="262"/>
      <c r="G128" s="258"/>
      <c r="H128" s="260">
        <v>0</v>
      </c>
      <c r="I128" s="262"/>
      <c r="J128" s="258"/>
    </row>
    <row r="129" s="241" customFormat="1" ht="18" customHeight="1" spans="1:10">
      <c r="A129" s="253" t="s">
        <v>1342</v>
      </c>
      <c r="B129" s="280"/>
      <c r="C129" s="259"/>
      <c r="D129" s="258"/>
      <c r="E129" s="260"/>
      <c r="F129" s="262"/>
      <c r="G129" s="258"/>
      <c r="H129" s="260">
        <v>1117</v>
      </c>
      <c r="I129" s="262"/>
      <c r="J129" s="258"/>
    </row>
    <row r="130" s="241" customFormat="1" ht="18" customHeight="1" spans="1:10">
      <c r="A130" s="253" t="s">
        <v>1343</v>
      </c>
      <c r="B130" s="260">
        <v>2132</v>
      </c>
      <c r="C130" s="260">
        <v>1810</v>
      </c>
      <c r="D130" s="258">
        <f>C130/B130*100</f>
        <v>84.8968105065666</v>
      </c>
      <c r="E130" s="260">
        <f>SUM(E131:E133)</f>
        <v>186</v>
      </c>
      <c r="F130" s="262">
        <f t="shared" ref="F130:F136" si="3">C130-E130</f>
        <v>1624</v>
      </c>
      <c r="G130" s="258">
        <f>F130/E130*100</f>
        <v>873.118279569892</v>
      </c>
      <c r="H130" s="260">
        <f>SUM(H131:H133)</f>
        <v>1966</v>
      </c>
      <c r="I130" s="262">
        <f t="shared" ref="I130:I136" si="4">H130-B130</f>
        <v>-166</v>
      </c>
      <c r="J130" s="258">
        <f>I130/B130*100</f>
        <v>-7.78611632270169</v>
      </c>
    </row>
    <row r="131" s="241" customFormat="1" ht="18" customHeight="1" spans="1:10">
      <c r="A131" s="253" t="s">
        <v>1344</v>
      </c>
      <c r="B131" s="280"/>
      <c r="C131" s="259"/>
      <c r="D131" s="258"/>
      <c r="E131" s="260"/>
      <c r="F131" s="262"/>
      <c r="G131" s="258"/>
      <c r="H131" s="260">
        <v>0</v>
      </c>
      <c r="I131" s="262"/>
      <c r="J131" s="258"/>
    </row>
    <row r="132" s="241" customFormat="1" ht="18" customHeight="1" spans="1:10">
      <c r="A132" s="253" t="s">
        <v>1345</v>
      </c>
      <c r="B132" s="283"/>
      <c r="C132" s="259"/>
      <c r="D132" s="258"/>
      <c r="E132" s="260">
        <v>186</v>
      </c>
      <c r="F132" s="262"/>
      <c r="G132" s="258"/>
      <c r="H132" s="260">
        <v>192</v>
      </c>
      <c r="I132" s="262"/>
      <c r="J132" s="258"/>
    </row>
    <row r="133" s="241" customFormat="1" ht="18" customHeight="1" spans="1:10">
      <c r="A133" s="253" t="s">
        <v>1346</v>
      </c>
      <c r="B133" s="283"/>
      <c r="C133" s="259"/>
      <c r="D133" s="258"/>
      <c r="E133" s="260"/>
      <c r="F133" s="262"/>
      <c r="G133" s="258"/>
      <c r="H133" s="260">
        <v>1774</v>
      </c>
      <c r="I133" s="262"/>
      <c r="J133" s="258"/>
    </row>
    <row r="134" s="241" customFormat="1" ht="18" customHeight="1" spans="1:10">
      <c r="A134" s="253" t="s">
        <v>1347</v>
      </c>
      <c r="B134" s="280"/>
      <c r="C134" s="259"/>
      <c r="D134" s="258"/>
      <c r="E134" s="260"/>
      <c r="F134" s="262">
        <f t="shared" si="3"/>
        <v>0</v>
      </c>
      <c r="G134" s="258"/>
      <c r="H134" s="260">
        <v>0</v>
      </c>
      <c r="I134" s="262">
        <f t="shared" si="4"/>
        <v>0</v>
      </c>
      <c r="J134" s="258"/>
    </row>
    <row r="135" s="241" customFormat="1" ht="18" customHeight="1" spans="1:10">
      <c r="A135" s="253" t="s">
        <v>1348</v>
      </c>
      <c r="B135" s="280"/>
      <c r="C135" s="259"/>
      <c r="D135" s="258"/>
      <c r="E135" s="260"/>
      <c r="F135" s="262">
        <f t="shared" si="3"/>
        <v>0</v>
      </c>
      <c r="G135" s="258"/>
      <c r="H135" s="260">
        <v>130</v>
      </c>
      <c r="I135" s="262">
        <f t="shared" si="4"/>
        <v>130</v>
      </c>
      <c r="J135" s="258"/>
    </row>
    <row r="136" s="241" customFormat="1" ht="18" customHeight="1" spans="1:10">
      <c r="A136" s="253" t="s">
        <v>1349</v>
      </c>
      <c r="B136" s="260">
        <v>72090.811382</v>
      </c>
      <c r="C136" s="260">
        <f>54467.88-42629</f>
        <v>11838.88</v>
      </c>
      <c r="D136" s="258"/>
      <c r="E136" s="260">
        <f>SUM(E137:E139)</f>
        <v>20721</v>
      </c>
      <c r="F136" s="262">
        <f t="shared" si="3"/>
        <v>-8882.12</v>
      </c>
      <c r="G136" s="258"/>
      <c r="H136" s="260">
        <f>SUM(H137:H139)</f>
        <v>42433</v>
      </c>
      <c r="I136" s="262">
        <f t="shared" si="4"/>
        <v>-29657.811382</v>
      </c>
      <c r="J136" s="258">
        <f>I136/B136*100</f>
        <v>-41.1395166921441</v>
      </c>
    </row>
    <row r="137" s="241" customFormat="1" ht="18" customHeight="1" spans="1:10">
      <c r="A137" s="253" t="s">
        <v>1350</v>
      </c>
      <c r="B137" s="280"/>
      <c r="C137" s="259"/>
      <c r="D137" s="258"/>
      <c r="E137" s="260">
        <v>13275</v>
      </c>
      <c r="F137" s="262"/>
      <c r="G137" s="258"/>
      <c r="H137" s="260"/>
      <c r="I137" s="262"/>
      <c r="J137" s="258"/>
    </row>
    <row r="138" s="241" customFormat="1" ht="18" customHeight="1" spans="1:10">
      <c r="A138" s="253" t="s">
        <v>1339</v>
      </c>
      <c r="B138" s="280"/>
      <c r="C138" s="259"/>
      <c r="D138" s="258"/>
      <c r="E138" s="260">
        <v>7379</v>
      </c>
      <c r="F138" s="262"/>
      <c r="G138" s="258"/>
      <c r="H138" s="260">
        <v>20402</v>
      </c>
      <c r="I138" s="262"/>
      <c r="J138" s="258"/>
    </row>
    <row r="139" s="241" customFormat="1" ht="18" customHeight="1" spans="1:10">
      <c r="A139" s="253" t="s">
        <v>1351</v>
      </c>
      <c r="B139" s="280"/>
      <c r="C139" s="259"/>
      <c r="D139" s="258"/>
      <c r="E139" s="260">
        <v>67</v>
      </c>
      <c r="F139" s="262"/>
      <c r="G139" s="258"/>
      <c r="H139" s="260">
        <v>22031</v>
      </c>
      <c r="I139" s="262"/>
      <c r="J139" s="258"/>
    </row>
    <row r="140" s="241" customFormat="1" ht="18" customHeight="1" spans="1:10">
      <c r="A140" s="253" t="s">
        <v>1352</v>
      </c>
      <c r="B140" s="260">
        <v>483</v>
      </c>
      <c r="C140" s="260">
        <v>1492</v>
      </c>
      <c r="D140" s="258"/>
      <c r="E140" s="260">
        <f>SUM(E141:E143)</f>
        <v>69</v>
      </c>
      <c r="F140" s="262">
        <f t="shared" ref="F140:F145" si="5">C140-E140</f>
        <v>1423</v>
      </c>
      <c r="G140" s="258"/>
      <c r="H140" s="260">
        <f>SUM(H141:H143)</f>
        <v>274</v>
      </c>
      <c r="I140" s="262">
        <f t="shared" ref="I140:I145" si="6">H140-B140</f>
        <v>-209</v>
      </c>
      <c r="J140" s="258">
        <f>I140/B140*100</f>
        <v>-43.2712215320911</v>
      </c>
    </row>
    <row r="141" s="241" customFormat="1" ht="18" customHeight="1" spans="1:10">
      <c r="A141" s="253" t="s">
        <v>1350</v>
      </c>
      <c r="B141" s="280"/>
      <c r="C141" s="259"/>
      <c r="D141" s="258"/>
      <c r="E141" s="260"/>
      <c r="F141" s="262"/>
      <c r="G141" s="258"/>
      <c r="H141" s="260">
        <v>60</v>
      </c>
      <c r="I141" s="262"/>
      <c r="J141" s="258"/>
    </row>
    <row r="142" s="241" customFormat="1" ht="18" customHeight="1" spans="1:10">
      <c r="A142" s="253" t="s">
        <v>1339</v>
      </c>
      <c r="B142" s="260"/>
      <c r="C142" s="259"/>
      <c r="D142" s="258"/>
      <c r="E142" s="260">
        <v>69</v>
      </c>
      <c r="F142" s="262"/>
      <c r="G142" s="258"/>
      <c r="H142" s="260">
        <v>80</v>
      </c>
      <c r="I142" s="262"/>
      <c r="J142" s="258"/>
    </row>
    <row r="143" s="241" customFormat="1" ht="18" customHeight="1" spans="1:10">
      <c r="A143" s="253" t="s">
        <v>1353</v>
      </c>
      <c r="B143" s="260"/>
      <c r="C143" s="259"/>
      <c r="D143" s="258"/>
      <c r="E143" s="260"/>
      <c r="F143" s="262"/>
      <c r="G143" s="258"/>
      <c r="H143" s="260">
        <v>134</v>
      </c>
      <c r="I143" s="262"/>
      <c r="J143" s="258"/>
    </row>
    <row r="144" s="241" customFormat="1" ht="18" customHeight="1" spans="1:10">
      <c r="A144" s="253" t="s">
        <v>1354</v>
      </c>
      <c r="B144" s="260"/>
      <c r="C144" s="259"/>
      <c r="D144" s="258"/>
      <c r="E144" s="260"/>
      <c r="F144" s="262">
        <f t="shared" si="5"/>
        <v>0</v>
      </c>
      <c r="G144" s="258"/>
      <c r="H144" s="260">
        <v>130</v>
      </c>
      <c r="I144" s="262">
        <f t="shared" si="6"/>
        <v>130</v>
      </c>
      <c r="J144" s="258"/>
    </row>
    <row r="145" s="241" customFormat="1" ht="18" customHeight="1" spans="1:10">
      <c r="A145" s="253" t="s">
        <v>1245</v>
      </c>
      <c r="B145" s="260"/>
      <c r="C145" s="260">
        <v>26775.54937</v>
      </c>
      <c r="D145" s="258"/>
      <c r="E145" s="260"/>
      <c r="F145" s="262">
        <f t="shared" si="5"/>
        <v>26775.54937</v>
      </c>
      <c r="G145" s="258"/>
      <c r="H145" s="260">
        <f>SUM(H146:H148)</f>
        <v>3533</v>
      </c>
      <c r="I145" s="262">
        <f t="shared" si="6"/>
        <v>3533</v>
      </c>
      <c r="J145" s="258"/>
    </row>
    <row r="146" s="241" customFormat="1" ht="18" customHeight="1" spans="1:10">
      <c r="A146" s="253" t="s">
        <v>1355</v>
      </c>
      <c r="B146" s="260"/>
      <c r="C146" s="259"/>
      <c r="D146" s="258"/>
      <c r="E146" s="260"/>
      <c r="F146" s="262"/>
      <c r="G146" s="258"/>
      <c r="H146" s="260">
        <v>3500</v>
      </c>
      <c r="I146" s="262"/>
      <c r="J146" s="258"/>
    </row>
    <row r="147" s="241" customFormat="1" ht="18" customHeight="1" spans="1:10">
      <c r="A147" s="253" t="s">
        <v>1356</v>
      </c>
      <c r="B147" s="260"/>
      <c r="C147" s="259"/>
      <c r="D147" s="258"/>
      <c r="E147" s="260"/>
      <c r="F147" s="262"/>
      <c r="G147" s="258"/>
      <c r="H147" s="260">
        <v>33</v>
      </c>
      <c r="I147" s="262"/>
      <c r="J147" s="258"/>
    </row>
    <row r="148" s="241" customFormat="1" ht="18" customHeight="1" spans="1:10">
      <c r="A148" s="253" t="s">
        <v>1357</v>
      </c>
      <c r="B148" s="260"/>
      <c r="C148" s="259"/>
      <c r="D148" s="258"/>
      <c r="E148" s="260"/>
      <c r="F148" s="262"/>
      <c r="G148" s="258"/>
      <c r="H148" s="260">
        <v>0</v>
      </c>
      <c r="I148" s="262"/>
      <c r="J148" s="258"/>
    </row>
    <row r="149" s="242" customFormat="1" ht="18" customHeight="1" spans="1:11">
      <c r="A149" s="251" t="s">
        <v>1358</v>
      </c>
      <c r="B149" s="263">
        <f>B150+B155+B164+B165+B175+B178+B179</f>
        <v>0</v>
      </c>
      <c r="C149" s="262">
        <f>C150+C155+C164+C165+C175+C178+C179</f>
        <v>2097.64</v>
      </c>
      <c r="D149" s="258"/>
      <c r="E149" s="262">
        <f>E150+E155+E164+E165+E175+E178+E179</f>
        <v>71</v>
      </c>
      <c r="F149" s="262">
        <f>C149-E149</f>
        <v>2026.64</v>
      </c>
      <c r="G149" s="258">
        <f>F149/E149*100</f>
        <v>2854.42253521127</v>
      </c>
      <c r="H149" s="262">
        <f>H150+H155+H164+H165+H175+H178+H179</f>
        <v>0</v>
      </c>
      <c r="I149" s="262">
        <f>H149-B149</f>
        <v>0</v>
      </c>
      <c r="J149" s="258"/>
      <c r="K149" s="241"/>
    </row>
    <row r="150" s="241" customFormat="1" ht="18" customHeight="1" spans="1:10">
      <c r="A150" s="253" t="s">
        <v>1359</v>
      </c>
      <c r="B150" s="280"/>
      <c r="C150" s="259"/>
      <c r="D150" s="258"/>
      <c r="E150" s="260"/>
      <c r="F150" s="262">
        <f>C150-E150</f>
        <v>0</v>
      </c>
      <c r="G150" s="258"/>
      <c r="H150" s="260">
        <f>SUM(H151:H154)</f>
        <v>0</v>
      </c>
      <c r="I150" s="262">
        <f>H150-B150</f>
        <v>0</v>
      </c>
      <c r="J150" s="258"/>
    </row>
    <row r="151" s="241" customFormat="1" ht="18" customHeight="1" spans="1:10">
      <c r="A151" s="253" t="s">
        <v>1360</v>
      </c>
      <c r="B151" s="280"/>
      <c r="C151" s="259"/>
      <c r="D151" s="258"/>
      <c r="E151" s="260"/>
      <c r="F151" s="262"/>
      <c r="G151" s="258"/>
      <c r="H151" s="260"/>
      <c r="I151" s="262"/>
      <c r="J151" s="258"/>
    </row>
    <row r="152" s="241" customFormat="1" ht="18" customHeight="1" spans="1:10">
      <c r="A152" s="253" t="s">
        <v>1361</v>
      </c>
      <c r="B152" s="280"/>
      <c r="C152" s="259"/>
      <c r="D152" s="258"/>
      <c r="E152" s="260"/>
      <c r="F152" s="262"/>
      <c r="G152" s="258"/>
      <c r="H152" s="260"/>
      <c r="I152" s="262"/>
      <c r="J152" s="258"/>
    </row>
    <row r="153" s="241" customFormat="1" ht="18" customHeight="1" spans="1:10">
      <c r="A153" s="253" t="s">
        <v>1362</v>
      </c>
      <c r="B153" s="280"/>
      <c r="C153" s="259"/>
      <c r="D153" s="258"/>
      <c r="E153" s="260"/>
      <c r="F153" s="262"/>
      <c r="G153" s="258"/>
      <c r="H153" s="260"/>
      <c r="I153" s="262"/>
      <c r="J153" s="258"/>
    </row>
    <row r="154" s="241" customFormat="1" ht="18" customHeight="1" spans="1:10">
      <c r="A154" s="253" t="s">
        <v>1363</v>
      </c>
      <c r="B154" s="280"/>
      <c r="C154" s="259"/>
      <c r="D154" s="258"/>
      <c r="E154" s="260"/>
      <c r="F154" s="262"/>
      <c r="G154" s="258"/>
      <c r="H154" s="260"/>
      <c r="I154" s="262"/>
      <c r="J154" s="258"/>
    </row>
    <row r="155" s="241" customFormat="1" ht="18" customHeight="1" spans="1:10">
      <c r="A155" s="253" t="s">
        <v>1364</v>
      </c>
      <c r="B155" s="280"/>
      <c r="C155" s="259"/>
      <c r="D155" s="258"/>
      <c r="E155" s="260"/>
      <c r="F155" s="262">
        <f>C155-E155</f>
        <v>0</v>
      </c>
      <c r="G155" s="258"/>
      <c r="H155" s="260">
        <f>SUM(H156:H163)</f>
        <v>0</v>
      </c>
      <c r="I155" s="262">
        <f>H155-B155</f>
        <v>0</v>
      </c>
      <c r="J155" s="258"/>
    </row>
    <row r="156" s="241" customFormat="1" ht="18" customHeight="1" spans="1:10">
      <c r="A156" s="253" t="s">
        <v>1365</v>
      </c>
      <c r="B156" s="280"/>
      <c r="C156" s="259"/>
      <c r="D156" s="258"/>
      <c r="E156" s="260"/>
      <c r="F156" s="262"/>
      <c r="G156" s="258"/>
      <c r="H156" s="260"/>
      <c r="I156" s="262"/>
      <c r="J156" s="258"/>
    </row>
    <row r="157" s="241" customFormat="1" ht="18" customHeight="1" spans="1:10">
      <c r="A157" s="253" t="s">
        <v>1366</v>
      </c>
      <c r="B157" s="280"/>
      <c r="C157" s="259"/>
      <c r="D157" s="258"/>
      <c r="E157" s="260"/>
      <c r="F157" s="262"/>
      <c r="G157" s="258"/>
      <c r="H157" s="260"/>
      <c r="I157" s="262"/>
      <c r="J157" s="258"/>
    </row>
    <row r="158" s="241" customFormat="1" ht="18" customHeight="1" spans="1:10">
      <c r="A158" s="253" t="s">
        <v>1367</v>
      </c>
      <c r="B158" s="280"/>
      <c r="C158" s="259"/>
      <c r="D158" s="258"/>
      <c r="E158" s="260"/>
      <c r="F158" s="262"/>
      <c r="G158" s="258"/>
      <c r="H158" s="260"/>
      <c r="I158" s="262"/>
      <c r="J158" s="258"/>
    </row>
    <row r="159" s="241" customFormat="1" ht="18" customHeight="1" spans="1:10">
      <c r="A159" s="253" t="s">
        <v>1368</v>
      </c>
      <c r="B159" s="280"/>
      <c r="C159" s="259"/>
      <c r="D159" s="258"/>
      <c r="E159" s="260"/>
      <c r="F159" s="262"/>
      <c r="G159" s="258"/>
      <c r="H159" s="260"/>
      <c r="I159" s="262"/>
      <c r="J159" s="258"/>
    </row>
    <row r="160" s="241" customFormat="1" ht="18" customHeight="1" spans="1:10">
      <c r="A160" s="253" t="s">
        <v>1369</v>
      </c>
      <c r="B160" s="280"/>
      <c r="C160" s="259"/>
      <c r="D160" s="258"/>
      <c r="E160" s="260"/>
      <c r="F160" s="262"/>
      <c r="G160" s="258"/>
      <c r="H160" s="260"/>
      <c r="I160" s="262"/>
      <c r="J160" s="258"/>
    </row>
    <row r="161" s="241" customFormat="1" ht="18" customHeight="1" spans="1:10">
      <c r="A161" s="253" t="s">
        <v>1370</v>
      </c>
      <c r="B161" s="280"/>
      <c r="C161" s="259"/>
      <c r="D161" s="258"/>
      <c r="E161" s="260"/>
      <c r="F161" s="262"/>
      <c r="G161" s="258"/>
      <c r="H161" s="260"/>
      <c r="I161" s="262"/>
      <c r="J161" s="258"/>
    </row>
    <row r="162" s="241" customFormat="1" ht="18" customHeight="1" spans="1:10">
      <c r="A162" s="253" t="s">
        <v>1371</v>
      </c>
      <c r="B162" s="280"/>
      <c r="C162" s="259"/>
      <c r="D162" s="258"/>
      <c r="E162" s="260"/>
      <c r="F162" s="262"/>
      <c r="G162" s="258"/>
      <c r="H162" s="260"/>
      <c r="I162" s="262"/>
      <c r="J162" s="258"/>
    </row>
    <row r="163" s="241" customFormat="1" ht="18" customHeight="1" spans="1:10">
      <c r="A163" s="253" t="s">
        <v>1372</v>
      </c>
      <c r="B163" s="280"/>
      <c r="C163" s="259"/>
      <c r="D163" s="258"/>
      <c r="E163" s="260"/>
      <c r="F163" s="262"/>
      <c r="G163" s="258"/>
      <c r="H163" s="260"/>
      <c r="I163" s="262"/>
      <c r="J163" s="258"/>
    </row>
    <row r="164" s="241" customFormat="1" ht="18" customHeight="1" spans="1:10">
      <c r="A164" s="253" t="s">
        <v>1373</v>
      </c>
      <c r="B164" s="280"/>
      <c r="C164" s="259"/>
      <c r="D164" s="258"/>
      <c r="E164" s="260"/>
      <c r="F164" s="262">
        <f>C164-E164</f>
        <v>0</v>
      </c>
      <c r="G164" s="258"/>
      <c r="H164" s="260"/>
      <c r="I164" s="262">
        <f>H164-B164</f>
        <v>0</v>
      </c>
      <c r="J164" s="258"/>
    </row>
    <row r="165" s="241" customFormat="1" ht="18" customHeight="1" spans="1:10">
      <c r="A165" s="253" t="s">
        <v>1374</v>
      </c>
      <c r="B165" s="280"/>
      <c r="C165" s="260">
        <v>67.64</v>
      </c>
      <c r="D165" s="258"/>
      <c r="E165" s="260">
        <v>71</v>
      </c>
      <c r="F165" s="262">
        <f>C165-E165</f>
        <v>-3.36</v>
      </c>
      <c r="G165" s="258">
        <f>F165/E165*100</f>
        <v>-4.73239436619718</v>
      </c>
      <c r="H165" s="260">
        <f>SUM(H166:H174)</f>
        <v>0</v>
      </c>
      <c r="I165" s="262">
        <f>H165-B165</f>
        <v>0</v>
      </c>
      <c r="J165" s="258"/>
    </row>
    <row r="166" s="241" customFormat="1" ht="18" customHeight="1" spans="1:10">
      <c r="A166" s="253" t="s">
        <v>1375</v>
      </c>
      <c r="B166" s="280"/>
      <c r="C166" s="259"/>
      <c r="D166" s="258"/>
      <c r="E166" s="260"/>
      <c r="F166" s="262"/>
      <c r="G166" s="258"/>
      <c r="H166" s="260"/>
      <c r="I166" s="262"/>
      <c r="J166" s="258"/>
    </row>
    <row r="167" s="241" customFormat="1" ht="18" customHeight="1" spans="1:10">
      <c r="A167" s="253" t="s">
        <v>1376</v>
      </c>
      <c r="B167" s="280"/>
      <c r="C167" s="259"/>
      <c r="D167" s="258"/>
      <c r="E167" s="260"/>
      <c r="F167" s="262"/>
      <c r="G167" s="258"/>
      <c r="H167" s="260"/>
      <c r="I167" s="262"/>
      <c r="J167" s="258"/>
    </row>
    <row r="168" s="241" customFormat="1" ht="18" customHeight="1" spans="1:10">
      <c r="A168" s="253" t="s">
        <v>1377</v>
      </c>
      <c r="B168" s="280"/>
      <c r="C168" s="259"/>
      <c r="D168" s="258"/>
      <c r="E168" s="260"/>
      <c r="F168" s="262"/>
      <c r="G168" s="258"/>
      <c r="H168" s="260"/>
      <c r="I168" s="262"/>
      <c r="J168" s="258"/>
    </row>
    <row r="169" s="241" customFormat="1" ht="18" customHeight="1" spans="1:10">
      <c r="A169" s="253" t="s">
        <v>1378</v>
      </c>
      <c r="B169" s="280"/>
      <c r="C169" s="259"/>
      <c r="D169" s="258"/>
      <c r="E169" s="260"/>
      <c r="F169" s="262"/>
      <c r="G169" s="258"/>
      <c r="H169" s="260"/>
      <c r="I169" s="262"/>
      <c r="J169" s="258"/>
    </row>
    <row r="170" s="241" customFormat="1" ht="18" customHeight="1" spans="1:10">
      <c r="A170" s="253" t="s">
        <v>1379</v>
      </c>
      <c r="B170" s="280"/>
      <c r="C170" s="259"/>
      <c r="D170" s="258"/>
      <c r="E170" s="260"/>
      <c r="F170" s="262"/>
      <c r="G170" s="258"/>
      <c r="H170" s="260"/>
      <c r="I170" s="262"/>
      <c r="J170" s="258"/>
    </row>
    <row r="171" s="241" customFormat="1" ht="18" customHeight="1" spans="1:10">
      <c r="A171" s="253" t="s">
        <v>1380</v>
      </c>
      <c r="B171" s="280"/>
      <c r="C171" s="259"/>
      <c r="D171" s="258"/>
      <c r="E171" s="260"/>
      <c r="F171" s="262"/>
      <c r="G171" s="258"/>
      <c r="H171" s="260"/>
      <c r="I171" s="262"/>
      <c r="J171" s="258"/>
    </row>
    <row r="172" s="241" customFormat="1" ht="18" customHeight="1" spans="1:10">
      <c r="A172" s="253" t="s">
        <v>1381</v>
      </c>
      <c r="B172" s="280"/>
      <c r="C172" s="259"/>
      <c r="D172" s="258"/>
      <c r="E172" s="260"/>
      <c r="F172" s="262"/>
      <c r="G172" s="258"/>
      <c r="H172" s="260"/>
      <c r="I172" s="262"/>
      <c r="J172" s="258"/>
    </row>
    <row r="173" s="241" customFormat="1" ht="18" customHeight="1" spans="1:10">
      <c r="A173" s="253" t="s">
        <v>1382</v>
      </c>
      <c r="B173" s="280"/>
      <c r="C173" s="259"/>
      <c r="D173" s="258"/>
      <c r="E173" s="260"/>
      <c r="F173" s="262"/>
      <c r="G173" s="258"/>
      <c r="H173" s="260"/>
      <c r="I173" s="262"/>
      <c r="J173" s="258"/>
    </row>
    <row r="174" s="241" customFormat="1" ht="18" customHeight="1" spans="1:10">
      <c r="A174" s="253" t="s">
        <v>1383</v>
      </c>
      <c r="B174" s="280"/>
      <c r="C174" s="259"/>
      <c r="D174" s="258"/>
      <c r="E174" s="260"/>
      <c r="F174" s="262"/>
      <c r="G174" s="258"/>
      <c r="H174" s="260"/>
      <c r="I174" s="262"/>
      <c r="J174" s="258"/>
    </row>
    <row r="175" s="241" customFormat="1" ht="18" customHeight="1" spans="1:10">
      <c r="A175" s="253" t="s">
        <v>1384</v>
      </c>
      <c r="B175" s="280"/>
      <c r="C175" s="259"/>
      <c r="D175" s="258"/>
      <c r="E175" s="260"/>
      <c r="F175" s="262">
        <f t="shared" ref="F175:F181" si="7">C175-E175</f>
        <v>0</v>
      </c>
      <c r="G175" s="258"/>
      <c r="H175" s="260">
        <f>SUM(H176:H177)</f>
        <v>0</v>
      </c>
      <c r="I175" s="262">
        <f t="shared" ref="I175:I181" si="8">H175-B175</f>
        <v>0</v>
      </c>
      <c r="J175" s="258"/>
    </row>
    <row r="176" s="241" customFormat="1" ht="18" customHeight="1" spans="1:10">
      <c r="A176" s="253" t="s">
        <v>1385</v>
      </c>
      <c r="B176" s="280"/>
      <c r="C176" s="259"/>
      <c r="D176" s="258"/>
      <c r="E176" s="260"/>
      <c r="F176" s="262"/>
      <c r="G176" s="258"/>
      <c r="H176" s="260"/>
      <c r="I176" s="262"/>
      <c r="J176" s="258"/>
    </row>
    <row r="177" s="241" customFormat="1" ht="18" customHeight="1" spans="1:10">
      <c r="A177" s="253" t="s">
        <v>1386</v>
      </c>
      <c r="B177" s="280"/>
      <c r="C177" s="259"/>
      <c r="D177" s="258"/>
      <c r="E177" s="260"/>
      <c r="F177" s="262"/>
      <c r="G177" s="258"/>
      <c r="H177" s="260"/>
      <c r="I177" s="262"/>
      <c r="J177" s="258"/>
    </row>
    <row r="178" s="241" customFormat="1" ht="18" customHeight="1" spans="1:10">
      <c r="A178" s="253" t="s">
        <v>1387</v>
      </c>
      <c r="B178" s="280"/>
      <c r="C178" s="259"/>
      <c r="D178" s="258"/>
      <c r="E178" s="260"/>
      <c r="F178" s="262">
        <f t="shared" si="7"/>
        <v>0</v>
      </c>
      <c r="G178" s="258"/>
      <c r="H178" s="260"/>
      <c r="I178" s="262">
        <f t="shared" si="8"/>
        <v>0</v>
      </c>
      <c r="J178" s="258"/>
    </row>
    <row r="179" s="241" customFormat="1" ht="18" customHeight="1" spans="1:10">
      <c r="A179" s="253" t="s">
        <v>1245</v>
      </c>
      <c r="B179" s="280"/>
      <c r="C179" s="260">
        <v>2030</v>
      </c>
      <c r="D179" s="258"/>
      <c r="E179" s="260"/>
      <c r="F179" s="262">
        <f t="shared" si="7"/>
        <v>2030</v>
      </c>
      <c r="G179" s="258"/>
      <c r="H179" s="260"/>
      <c r="I179" s="262">
        <f t="shared" si="8"/>
        <v>0</v>
      </c>
      <c r="J179" s="258"/>
    </row>
    <row r="180" s="242" customFormat="1" ht="18" customHeight="1" spans="1:11">
      <c r="A180" s="251" t="s">
        <v>1388</v>
      </c>
      <c r="B180" s="252">
        <f>B181+B184</f>
        <v>18945.843454</v>
      </c>
      <c r="C180" s="252">
        <f>C181+C184</f>
        <v>60591.177534</v>
      </c>
      <c r="D180" s="258"/>
      <c r="E180" s="262">
        <f>E181+E184</f>
        <v>5519</v>
      </c>
      <c r="F180" s="262">
        <f t="shared" si="7"/>
        <v>55072.177534</v>
      </c>
      <c r="G180" s="258"/>
      <c r="H180" s="262">
        <f>H181+H184</f>
        <v>12995</v>
      </c>
      <c r="I180" s="262">
        <f t="shared" si="8"/>
        <v>-5950.843454</v>
      </c>
      <c r="J180" s="258">
        <f>I180/B180*100</f>
        <v>-31.4097573351563</v>
      </c>
      <c r="K180" s="241"/>
    </row>
    <row r="181" s="241" customFormat="1" ht="18" customHeight="1" spans="1:10">
      <c r="A181" s="253" t="s">
        <v>1389</v>
      </c>
      <c r="B181" s="260"/>
      <c r="C181" s="260"/>
      <c r="D181" s="258"/>
      <c r="E181" s="260"/>
      <c r="F181" s="262">
        <f t="shared" si="7"/>
        <v>0</v>
      </c>
      <c r="G181" s="258"/>
      <c r="H181" s="260">
        <f>H182+H183</f>
        <v>1824</v>
      </c>
      <c r="I181" s="262">
        <f t="shared" si="8"/>
        <v>1824</v>
      </c>
      <c r="J181" s="258"/>
    </row>
    <row r="182" s="241" customFormat="1" ht="18" customHeight="1" spans="1:10">
      <c r="A182" s="253" t="s">
        <v>1390</v>
      </c>
      <c r="B182" s="280"/>
      <c r="C182" s="259"/>
      <c r="D182" s="258"/>
      <c r="E182" s="260"/>
      <c r="F182" s="262"/>
      <c r="G182" s="258"/>
      <c r="H182" s="260">
        <v>0</v>
      </c>
      <c r="I182" s="262"/>
      <c r="J182" s="258"/>
    </row>
    <row r="183" s="241" customFormat="1" ht="18" customHeight="1" spans="1:10">
      <c r="A183" s="253" t="s">
        <v>1391</v>
      </c>
      <c r="B183" s="260"/>
      <c r="C183" s="259"/>
      <c r="D183" s="258"/>
      <c r="E183" s="260"/>
      <c r="F183" s="262"/>
      <c r="G183" s="258"/>
      <c r="H183" s="260">
        <v>1824</v>
      </c>
      <c r="I183" s="262"/>
      <c r="J183" s="258"/>
    </row>
    <row r="184" s="241" customFormat="1" ht="18" customHeight="1" spans="1:10">
      <c r="A184" s="253" t="s">
        <v>1245</v>
      </c>
      <c r="B184" s="260">
        <v>18945.843454</v>
      </c>
      <c r="C184" s="260">
        <v>60591.177534</v>
      </c>
      <c r="D184" s="258"/>
      <c r="E184" s="260">
        <v>5519</v>
      </c>
      <c r="F184" s="262">
        <f t="shared" ref="F184:F186" si="9">C184-E184</f>
        <v>55072.177534</v>
      </c>
      <c r="G184" s="258"/>
      <c r="H184" s="260">
        <v>11171</v>
      </c>
      <c r="I184" s="262">
        <f t="shared" ref="I184:I186" si="10">H184-B184</f>
        <v>-7774.843454</v>
      </c>
      <c r="J184" s="258">
        <f>I184/B184*100</f>
        <v>-41.0371988604103</v>
      </c>
    </row>
    <row r="185" s="242" customFormat="1" ht="18" customHeight="1" spans="1:11">
      <c r="A185" s="251" t="s">
        <v>1392</v>
      </c>
      <c r="B185" s="260">
        <f>B186</f>
        <v>0</v>
      </c>
      <c r="C185" s="261">
        <f>C186</f>
        <v>0</v>
      </c>
      <c r="D185" s="258"/>
      <c r="E185" s="262">
        <f>E186</f>
        <v>0</v>
      </c>
      <c r="F185" s="262">
        <f t="shared" si="9"/>
        <v>0</v>
      </c>
      <c r="G185" s="258"/>
      <c r="H185" s="262">
        <f>H186</f>
        <v>0</v>
      </c>
      <c r="I185" s="262">
        <f t="shared" si="10"/>
        <v>0</v>
      </c>
      <c r="J185" s="258"/>
      <c r="K185" s="241"/>
    </row>
    <row r="186" s="242" customFormat="1" ht="18" customHeight="1" spans="1:11">
      <c r="A186" s="253" t="s">
        <v>914</v>
      </c>
      <c r="B186" s="260"/>
      <c r="C186" s="263"/>
      <c r="D186" s="258"/>
      <c r="E186" s="262"/>
      <c r="F186" s="262">
        <f t="shared" si="9"/>
        <v>0</v>
      </c>
      <c r="G186" s="258"/>
      <c r="H186" s="262">
        <f>SUM(H187:H189)</f>
        <v>0</v>
      </c>
      <c r="I186" s="262">
        <f t="shared" si="10"/>
        <v>0</v>
      </c>
      <c r="J186" s="258"/>
      <c r="K186" s="241"/>
    </row>
    <row r="187" s="242" customFormat="1" ht="18" customHeight="1" spans="1:11">
      <c r="A187" s="253" t="s">
        <v>1393</v>
      </c>
      <c r="B187" s="260"/>
      <c r="C187" s="263"/>
      <c r="D187" s="258"/>
      <c r="E187" s="262"/>
      <c r="F187" s="262"/>
      <c r="G187" s="258"/>
      <c r="H187" s="262"/>
      <c r="I187" s="262"/>
      <c r="J187" s="258"/>
      <c r="K187" s="241"/>
    </row>
    <row r="188" s="242" customFormat="1" ht="18" customHeight="1" spans="1:11">
      <c r="A188" s="253" t="s">
        <v>1394</v>
      </c>
      <c r="B188" s="280"/>
      <c r="C188" s="263"/>
      <c r="D188" s="258"/>
      <c r="E188" s="262"/>
      <c r="F188" s="262"/>
      <c r="G188" s="258"/>
      <c r="H188" s="262"/>
      <c r="I188" s="262"/>
      <c r="J188" s="258"/>
      <c r="K188" s="241"/>
    </row>
    <row r="189" s="242" customFormat="1" ht="18" customHeight="1" spans="1:11">
      <c r="A189" s="253" t="s">
        <v>1395</v>
      </c>
      <c r="B189" s="280"/>
      <c r="C189" s="263"/>
      <c r="D189" s="258"/>
      <c r="E189" s="262"/>
      <c r="F189" s="262"/>
      <c r="G189" s="258"/>
      <c r="H189" s="262"/>
      <c r="I189" s="262"/>
      <c r="J189" s="258"/>
      <c r="K189" s="241"/>
    </row>
    <row r="190" s="242" customFormat="1" ht="18" customHeight="1" spans="1:11">
      <c r="A190" s="251" t="s">
        <v>1396</v>
      </c>
      <c r="B190" s="261">
        <f>B191</f>
        <v>0</v>
      </c>
      <c r="C190" s="261">
        <f>C191</f>
        <v>0</v>
      </c>
      <c r="D190" s="258"/>
      <c r="E190" s="262">
        <f>E191</f>
        <v>0</v>
      </c>
      <c r="F190" s="262">
        <f t="shared" ref="F190:F195" si="11">C190-E190</f>
        <v>0</v>
      </c>
      <c r="G190" s="258"/>
      <c r="H190" s="262">
        <f>H191</f>
        <v>0</v>
      </c>
      <c r="I190" s="262">
        <f t="shared" ref="I190:I195" si="12">H190-B190</f>
        <v>0</v>
      </c>
      <c r="J190" s="258"/>
      <c r="K190" s="241"/>
    </row>
    <row r="191" s="242" customFormat="1" ht="18" customHeight="1" spans="1:11">
      <c r="A191" s="253" t="s">
        <v>1397</v>
      </c>
      <c r="B191" s="280"/>
      <c r="C191" s="263"/>
      <c r="D191" s="258"/>
      <c r="E191" s="262"/>
      <c r="F191" s="262">
        <f t="shared" si="11"/>
        <v>0</v>
      </c>
      <c r="G191" s="258"/>
      <c r="H191" s="262">
        <f>SUM(H192:H193)</f>
        <v>0</v>
      </c>
      <c r="I191" s="262">
        <f t="shared" si="12"/>
        <v>0</v>
      </c>
      <c r="J191" s="258"/>
      <c r="K191" s="241"/>
    </row>
    <row r="192" s="242" customFormat="1" ht="18" customHeight="1" spans="1:11">
      <c r="A192" s="253" t="s">
        <v>1398</v>
      </c>
      <c r="B192" s="280"/>
      <c r="C192" s="263"/>
      <c r="D192" s="258"/>
      <c r="E192" s="262"/>
      <c r="F192" s="262"/>
      <c r="G192" s="258"/>
      <c r="H192" s="262"/>
      <c r="I192" s="262"/>
      <c r="J192" s="258"/>
      <c r="K192" s="241"/>
    </row>
    <row r="193" s="242" customFormat="1" ht="18" customHeight="1" spans="1:11">
      <c r="A193" s="253" t="s">
        <v>1399</v>
      </c>
      <c r="B193" s="280"/>
      <c r="C193" s="263"/>
      <c r="D193" s="258"/>
      <c r="E193" s="262"/>
      <c r="F193" s="262"/>
      <c r="G193" s="258"/>
      <c r="H193" s="262"/>
      <c r="I193" s="262"/>
      <c r="J193" s="258"/>
      <c r="K193" s="241"/>
    </row>
    <row r="194" s="242" customFormat="1" ht="18" customHeight="1" spans="1:11">
      <c r="A194" s="251" t="s">
        <v>1400</v>
      </c>
      <c r="B194" s="252">
        <f>B195</f>
        <v>465</v>
      </c>
      <c r="C194" s="252">
        <f>C195</f>
        <v>665</v>
      </c>
      <c r="D194" s="258"/>
      <c r="E194" s="262">
        <f>E195</f>
        <v>0</v>
      </c>
      <c r="F194" s="262">
        <f t="shared" si="11"/>
        <v>665</v>
      </c>
      <c r="G194" s="258"/>
      <c r="H194" s="262">
        <f>H195</f>
        <v>0</v>
      </c>
      <c r="I194" s="262">
        <f t="shared" si="12"/>
        <v>-465</v>
      </c>
      <c r="J194" s="258">
        <f>I194/B194*100</f>
        <v>-100</v>
      </c>
      <c r="K194" s="241"/>
    </row>
    <row r="195" s="242" customFormat="1" ht="18" customHeight="1" spans="1:11">
      <c r="A195" s="253" t="s">
        <v>1245</v>
      </c>
      <c r="B195" s="260">
        <v>465</v>
      </c>
      <c r="C195" s="260">
        <v>665</v>
      </c>
      <c r="D195" s="258"/>
      <c r="E195" s="262"/>
      <c r="F195" s="262">
        <f t="shared" si="11"/>
        <v>665</v>
      </c>
      <c r="G195" s="258"/>
      <c r="H195" s="262">
        <f>SUM(H196:H197)</f>
        <v>0</v>
      </c>
      <c r="I195" s="262">
        <f t="shared" si="12"/>
        <v>-465</v>
      </c>
      <c r="J195" s="258">
        <f>I195/B195*100</f>
        <v>-100</v>
      </c>
      <c r="K195" s="241"/>
    </row>
    <row r="196" s="242" customFormat="1" ht="18" customHeight="1" spans="1:11">
      <c r="A196" s="253" t="s">
        <v>1401</v>
      </c>
      <c r="B196" s="280"/>
      <c r="C196" s="263"/>
      <c r="D196" s="258"/>
      <c r="E196" s="262"/>
      <c r="F196" s="262"/>
      <c r="G196" s="258"/>
      <c r="H196" s="262"/>
      <c r="I196" s="262"/>
      <c r="J196" s="258"/>
      <c r="K196" s="241"/>
    </row>
    <row r="197" s="242" customFormat="1" ht="18" customHeight="1" spans="1:11">
      <c r="A197" s="253" t="s">
        <v>1402</v>
      </c>
      <c r="B197" s="280"/>
      <c r="C197" s="263"/>
      <c r="D197" s="258"/>
      <c r="E197" s="262"/>
      <c r="F197" s="262"/>
      <c r="G197" s="258"/>
      <c r="H197" s="262"/>
      <c r="I197" s="262"/>
      <c r="J197" s="258"/>
      <c r="K197" s="241"/>
    </row>
    <row r="198" s="242" customFormat="1" ht="18" customHeight="1" spans="1:11">
      <c r="A198" s="251" t="s">
        <v>1403</v>
      </c>
      <c r="B198" s="261">
        <f>B199</f>
        <v>0</v>
      </c>
      <c r="C198" s="261">
        <f>C199</f>
        <v>0</v>
      </c>
      <c r="D198" s="258"/>
      <c r="E198" s="262">
        <f>E199</f>
        <v>0</v>
      </c>
      <c r="F198" s="262">
        <f t="shared" ref="F198:F203" si="13">C198-E198</f>
        <v>0</v>
      </c>
      <c r="G198" s="258"/>
      <c r="H198" s="262">
        <f>H199</f>
        <v>1335</v>
      </c>
      <c r="I198" s="262">
        <f t="shared" ref="I198:I203" si="14">H198-B198</f>
        <v>1335</v>
      </c>
      <c r="J198" s="258"/>
      <c r="K198" s="241"/>
    </row>
    <row r="199" s="242" customFormat="1" ht="18" customHeight="1" spans="1:11">
      <c r="A199" s="253" t="s">
        <v>1245</v>
      </c>
      <c r="B199" s="280"/>
      <c r="C199" s="263"/>
      <c r="D199" s="258"/>
      <c r="E199" s="262"/>
      <c r="F199" s="262">
        <f t="shared" si="13"/>
        <v>0</v>
      </c>
      <c r="G199" s="258"/>
      <c r="H199" s="260">
        <f>SUM(H200:H201)</f>
        <v>1335</v>
      </c>
      <c r="I199" s="262">
        <f t="shared" si="14"/>
        <v>1335</v>
      </c>
      <c r="J199" s="258"/>
      <c r="K199" s="241"/>
    </row>
    <row r="200" s="242" customFormat="1" ht="18" customHeight="1" spans="1:11">
      <c r="A200" s="253" t="s">
        <v>1404</v>
      </c>
      <c r="B200" s="280"/>
      <c r="C200" s="263"/>
      <c r="D200" s="258"/>
      <c r="E200" s="262"/>
      <c r="F200" s="262"/>
      <c r="G200" s="258"/>
      <c r="H200" s="260"/>
      <c r="I200" s="262"/>
      <c r="J200" s="258"/>
      <c r="K200" s="241"/>
    </row>
    <row r="201" s="242" customFormat="1" ht="18" customHeight="1" spans="1:11">
      <c r="A201" s="253" t="s">
        <v>1405</v>
      </c>
      <c r="B201" s="280"/>
      <c r="C201" s="263"/>
      <c r="D201" s="258"/>
      <c r="E201" s="262"/>
      <c r="F201" s="262"/>
      <c r="G201" s="258"/>
      <c r="H201" s="260">
        <v>1335</v>
      </c>
      <c r="I201" s="262"/>
      <c r="J201" s="258"/>
      <c r="K201" s="241"/>
    </row>
    <row r="202" s="242" customFormat="1" ht="18" customHeight="1" spans="1:11">
      <c r="A202" s="251" t="s">
        <v>1406</v>
      </c>
      <c r="B202" s="261">
        <f>B203</f>
        <v>0</v>
      </c>
      <c r="C202" s="261">
        <f>C203</f>
        <v>0</v>
      </c>
      <c r="D202" s="258"/>
      <c r="E202" s="262">
        <f>E203</f>
        <v>0</v>
      </c>
      <c r="F202" s="262">
        <f t="shared" si="13"/>
        <v>0</v>
      </c>
      <c r="G202" s="258"/>
      <c r="H202" s="262">
        <f>H203</f>
        <v>0</v>
      </c>
      <c r="I202" s="262">
        <f t="shared" si="14"/>
        <v>0</v>
      </c>
      <c r="J202" s="258"/>
      <c r="K202" s="241"/>
    </row>
    <row r="203" s="242" customFormat="1" ht="18" customHeight="1" spans="1:11">
      <c r="A203" s="253" t="s">
        <v>1245</v>
      </c>
      <c r="B203" s="280"/>
      <c r="C203" s="263"/>
      <c r="D203" s="258"/>
      <c r="E203" s="262"/>
      <c r="F203" s="262">
        <f t="shared" si="13"/>
        <v>0</v>
      </c>
      <c r="G203" s="258"/>
      <c r="H203" s="262">
        <f>SUM(H204:H206)</f>
        <v>0</v>
      </c>
      <c r="I203" s="262">
        <f t="shared" si="14"/>
        <v>0</v>
      </c>
      <c r="J203" s="258"/>
      <c r="K203" s="241"/>
    </row>
    <row r="204" s="242" customFormat="1" ht="18" customHeight="1" spans="1:11">
      <c r="A204" s="253" t="s">
        <v>1407</v>
      </c>
      <c r="B204" s="280"/>
      <c r="C204" s="263"/>
      <c r="D204" s="258"/>
      <c r="E204" s="262"/>
      <c r="F204" s="262"/>
      <c r="G204" s="258"/>
      <c r="H204" s="262"/>
      <c r="I204" s="262"/>
      <c r="J204" s="258"/>
      <c r="K204" s="241"/>
    </row>
    <row r="205" s="242" customFormat="1" ht="18" customHeight="1" spans="1:11">
      <c r="A205" s="253" t="s">
        <v>1408</v>
      </c>
      <c r="B205" s="280"/>
      <c r="C205" s="263"/>
      <c r="D205" s="258"/>
      <c r="E205" s="262"/>
      <c r="F205" s="262"/>
      <c r="G205" s="258"/>
      <c r="H205" s="262"/>
      <c r="I205" s="262"/>
      <c r="J205" s="258"/>
      <c r="K205" s="241"/>
    </row>
    <row r="206" s="242" customFormat="1" ht="18" customHeight="1" spans="1:11">
      <c r="A206" s="253" t="s">
        <v>1409</v>
      </c>
      <c r="B206" s="280"/>
      <c r="C206" s="263"/>
      <c r="D206" s="258"/>
      <c r="E206" s="262"/>
      <c r="F206" s="262"/>
      <c r="G206" s="258"/>
      <c r="H206" s="262"/>
      <c r="I206" s="262"/>
      <c r="J206" s="258"/>
      <c r="K206" s="241"/>
    </row>
    <row r="207" s="242" customFormat="1" ht="18" customHeight="1" spans="1:11">
      <c r="A207" s="251" t="s">
        <v>1410</v>
      </c>
      <c r="B207" s="252">
        <f>B208+B212+B221+B223+B225+B236</f>
        <v>224324.606637</v>
      </c>
      <c r="C207" s="252">
        <f>C208+C212+C221+C223+C225+C236</f>
        <v>408637.150811</v>
      </c>
      <c r="D207" s="258">
        <f t="shared" ref="D207:D212" si="15">C207/B207*100</f>
        <v>182.163319903756</v>
      </c>
      <c r="E207" s="252">
        <f>E208+E212+E221+E223+E225+E236</f>
        <v>861140</v>
      </c>
      <c r="F207" s="262">
        <f t="shared" ref="F207:F212" si="16">C207-E207</f>
        <v>-452502.849189</v>
      </c>
      <c r="G207" s="258">
        <f t="shared" ref="G207:G212" si="17">F207/E207*100</f>
        <v>-52.5469551047449</v>
      </c>
      <c r="H207" s="252">
        <f>H208+H212+H221+H223+H225+H236</f>
        <v>46284.5</v>
      </c>
      <c r="I207" s="262">
        <f t="shared" ref="I207:I212" si="18">H207-B207</f>
        <v>-178040.106637</v>
      </c>
      <c r="J207" s="258">
        <f>I207/B207*100</f>
        <v>-79.3671765688652</v>
      </c>
      <c r="K207" s="241"/>
    </row>
    <row r="208" s="241" customFormat="1" ht="18" customHeight="1" spans="1:10">
      <c r="A208" s="253" t="s">
        <v>1411</v>
      </c>
      <c r="B208" s="260">
        <v>204922.458839</v>
      </c>
      <c r="C208" s="260">
        <v>388954</v>
      </c>
      <c r="D208" s="258">
        <f t="shared" si="15"/>
        <v>189.80545236654</v>
      </c>
      <c r="E208" s="260">
        <v>852311</v>
      </c>
      <c r="F208" s="262">
        <f t="shared" si="16"/>
        <v>-463357</v>
      </c>
      <c r="G208" s="258">
        <f t="shared" si="17"/>
        <v>-54.3647799922798</v>
      </c>
      <c r="H208" s="260">
        <f>SUM(H209:H211)</f>
        <v>28668</v>
      </c>
      <c r="I208" s="262">
        <f t="shared" si="18"/>
        <v>-176254.458839</v>
      </c>
      <c r="J208" s="258">
        <f>I208/B208*100</f>
        <v>-86.0103181650171</v>
      </c>
    </row>
    <row r="209" s="241" customFormat="1" ht="18" customHeight="1" spans="1:10">
      <c r="A209" s="253" t="s">
        <v>1412</v>
      </c>
      <c r="B209" s="283"/>
      <c r="C209" s="259"/>
      <c r="D209" s="258"/>
      <c r="E209" s="260"/>
      <c r="F209" s="262"/>
      <c r="G209" s="258"/>
      <c r="H209" s="260">
        <v>5569</v>
      </c>
      <c r="I209" s="262"/>
      <c r="J209" s="258"/>
    </row>
    <row r="210" s="241" customFormat="1" ht="18" customHeight="1" spans="1:10">
      <c r="A210" s="253" t="s">
        <v>1413</v>
      </c>
      <c r="B210" s="283"/>
      <c r="C210" s="259"/>
      <c r="D210" s="258"/>
      <c r="E210" s="260"/>
      <c r="F210" s="262"/>
      <c r="G210" s="258"/>
      <c r="H210" s="260">
        <f>191595-81312-94024</f>
        <v>16259</v>
      </c>
      <c r="I210" s="262"/>
      <c r="J210" s="258"/>
    </row>
    <row r="211" s="241" customFormat="1" ht="18" customHeight="1" spans="1:10">
      <c r="A211" s="253" t="s">
        <v>1414</v>
      </c>
      <c r="B211" s="260"/>
      <c r="C211" s="260"/>
      <c r="D211" s="258"/>
      <c r="E211" s="260"/>
      <c r="F211" s="262"/>
      <c r="G211" s="258"/>
      <c r="H211" s="260">
        <v>6840</v>
      </c>
      <c r="I211" s="262"/>
      <c r="J211" s="258"/>
    </row>
    <row r="212" s="241" customFormat="1" ht="18" customHeight="1" spans="1:10">
      <c r="A212" s="253" t="s">
        <v>1415</v>
      </c>
      <c r="B212" s="260">
        <v>710</v>
      </c>
      <c r="C212" s="260">
        <v>327.150811</v>
      </c>
      <c r="D212" s="258">
        <f t="shared" si="15"/>
        <v>46.0775790140845</v>
      </c>
      <c r="E212" s="260">
        <v>277</v>
      </c>
      <c r="F212" s="262">
        <f t="shared" si="16"/>
        <v>50.150811</v>
      </c>
      <c r="G212" s="258">
        <f t="shared" si="17"/>
        <v>18.1049859205776</v>
      </c>
      <c r="H212" s="260">
        <f>SUM(H213:H220)</f>
        <v>720</v>
      </c>
      <c r="I212" s="262">
        <f t="shared" si="18"/>
        <v>10</v>
      </c>
      <c r="J212" s="258">
        <f>I212/B212*100</f>
        <v>1.40845070422535</v>
      </c>
    </row>
    <row r="213" s="241" customFormat="1" ht="18" customHeight="1" spans="1:10">
      <c r="A213" s="253" t="s">
        <v>1416</v>
      </c>
      <c r="B213" s="260"/>
      <c r="C213" s="260"/>
      <c r="D213" s="258"/>
      <c r="E213" s="260"/>
      <c r="F213" s="262"/>
      <c r="G213" s="258"/>
      <c r="H213" s="260">
        <v>0</v>
      </c>
      <c r="I213" s="262"/>
      <c r="J213" s="258"/>
    </row>
    <row r="214" s="241" customFormat="1" ht="18" customHeight="1" spans="1:10">
      <c r="A214" s="253" t="s">
        <v>1417</v>
      </c>
      <c r="B214" s="260"/>
      <c r="C214" s="260"/>
      <c r="D214" s="258"/>
      <c r="E214" s="260"/>
      <c r="F214" s="262"/>
      <c r="G214" s="258"/>
      <c r="H214" s="260">
        <v>0</v>
      </c>
      <c r="I214" s="262"/>
      <c r="J214" s="258"/>
    </row>
    <row r="215" s="241" customFormat="1" ht="18" customHeight="1" spans="1:10">
      <c r="A215" s="253" t="s">
        <v>1418</v>
      </c>
      <c r="B215" s="260"/>
      <c r="C215" s="260"/>
      <c r="D215" s="258"/>
      <c r="E215" s="260"/>
      <c r="F215" s="262"/>
      <c r="G215" s="258"/>
      <c r="H215" s="260">
        <v>610</v>
      </c>
      <c r="I215" s="262"/>
      <c r="J215" s="258"/>
    </row>
    <row r="216" s="241" customFormat="1" ht="18" customHeight="1" spans="1:10">
      <c r="A216" s="253" t="s">
        <v>1419</v>
      </c>
      <c r="B216" s="260"/>
      <c r="C216" s="260"/>
      <c r="D216" s="258"/>
      <c r="E216" s="260"/>
      <c r="F216" s="262"/>
      <c r="G216" s="258"/>
      <c r="H216" s="260">
        <v>0</v>
      </c>
      <c r="I216" s="262"/>
      <c r="J216" s="258"/>
    </row>
    <row r="217" s="241" customFormat="1" ht="18" customHeight="1" spans="1:10">
      <c r="A217" s="253" t="s">
        <v>1420</v>
      </c>
      <c r="B217" s="260"/>
      <c r="C217" s="260"/>
      <c r="D217" s="258"/>
      <c r="E217" s="260"/>
      <c r="F217" s="262"/>
      <c r="G217" s="258"/>
      <c r="H217" s="260">
        <v>0</v>
      </c>
      <c r="I217" s="262"/>
      <c r="J217" s="258"/>
    </row>
    <row r="218" s="241" customFormat="1" ht="18" customHeight="1" spans="1:10">
      <c r="A218" s="253" t="s">
        <v>1421</v>
      </c>
      <c r="B218" s="280"/>
      <c r="C218" s="259"/>
      <c r="D218" s="258"/>
      <c r="E218" s="260"/>
      <c r="F218" s="262"/>
      <c r="G218" s="258"/>
      <c r="H218" s="260">
        <v>0</v>
      </c>
      <c r="I218" s="262"/>
      <c r="J218" s="258"/>
    </row>
    <row r="219" s="241" customFormat="1" ht="18" customHeight="1" spans="1:10">
      <c r="A219" s="253" t="s">
        <v>1422</v>
      </c>
      <c r="B219" s="280"/>
      <c r="C219" s="259"/>
      <c r="D219" s="258"/>
      <c r="E219" s="260"/>
      <c r="F219" s="262"/>
      <c r="G219" s="258"/>
      <c r="H219" s="260">
        <v>110</v>
      </c>
      <c r="I219" s="262"/>
      <c r="J219" s="258"/>
    </row>
    <row r="220" s="241" customFormat="1" ht="18" customHeight="1" spans="1:10">
      <c r="A220" s="253" t="s">
        <v>1423</v>
      </c>
      <c r="B220" s="280"/>
      <c r="C220" s="259"/>
      <c r="D220" s="258"/>
      <c r="E220" s="260"/>
      <c r="F220" s="262"/>
      <c r="G220" s="258"/>
      <c r="H220" s="260">
        <v>0</v>
      </c>
      <c r="I220" s="262"/>
      <c r="J220" s="258"/>
    </row>
    <row r="221" s="241" customFormat="1" ht="18" customHeight="1" spans="1:10">
      <c r="A221" s="253" t="s">
        <v>1424</v>
      </c>
      <c r="B221" s="260"/>
      <c r="C221" s="259"/>
      <c r="D221" s="258"/>
      <c r="E221" s="260"/>
      <c r="F221" s="262">
        <f t="shared" ref="F221:F225" si="19">C221-E221</f>
        <v>0</v>
      </c>
      <c r="G221" s="258"/>
      <c r="H221" s="260">
        <f>H222</f>
        <v>0</v>
      </c>
      <c r="I221" s="262">
        <f t="shared" ref="I221:I225" si="20">H221-B221</f>
        <v>0</v>
      </c>
      <c r="J221" s="258"/>
    </row>
    <row r="222" s="241" customFormat="1" ht="18" customHeight="1" spans="1:10">
      <c r="A222" s="253" t="s">
        <v>1425</v>
      </c>
      <c r="B222" s="260"/>
      <c r="C222" s="259"/>
      <c r="D222" s="258"/>
      <c r="E222" s="260"/>
      <c r="F222" s="262"/>
      <c r="G222" s="258"/>
      <c r="H222" s="260"/>
      <c r="I222" s="262"/>
      <c r="J222" s="258"/>
    </row>
    <row r="223" s="241" customFormat="1" ht="18" customHeight="1" spans="1:10">
      <c r="A223" s="253" t="s">
        <v>1426</v>
      </c>
      <c r="B223" s="260"/>
      <c r="C223" s="259"/>
      <c r="D223" s="258"/>
      <c r="E223" s="260"/>
      <c r="F223" s="262">
        <f t="shared" si="19"/>
        <v>0</v>
      </c>
      <c r="G223" s="258"/>
      <c r="H223" s="260">
        <f>H224</f>
        <v>0</v>
      </c>
      <c r="I223" s="262">
        <f t="shared" si="20"/>
        <v>0</v>
      </c>
      <c r="J223" s="258"/>
    </row>
    <row r="224" s="241" customFormat="1" ht="18" customHeight="1" spans="1:10">
      <c r="A224" s="253" t="s">
        <v>1427</v>
      </c>
      <c r="B224" s="260"/>
      <c r="C224" s="259"/>
      <c r="D224" s="258"/>
      <c r="E224" s="260"/>
      <c r="F224" s="262"/>
      <c r="G224" s="258"/>
      <c r="H224" s="260"/>
      <c r="I224" s="262"/>
      <c r="J224" s="258"/>
    </row>
    <row r="225" s="241" customFormat="1" ht="18" customHeight="1" spans="1:10">
      <c r="A225" s="253" t="s">
        <v>1428</v>
      </c>
      <c r="B225" s="260">
        <v>18692.147798</v>
      </c>
      <c r="C225" s="260">
        <v>9472</v>
      </c>
      <c r="D225" s="258">
        <f>C225/B225*100</f>
        <v>50.6736844923379</v>
      </c>
      <c r="E225" s="260">
        <v>7242</v>
      </c>
      <c r="F225" s="262">
        <f t="shared" si="19"/>
        <v>2230</v>
      </c>
      <c r="G225" s="258">
        <f>F225/E225*100</f>
        <v>30.7925987296327</v>
      </c>
      <c r="H225" s="260">
        <f>SUM(H226:H235)</f>
        <v>16896.5</v>
      </c>
      <c r="I225" s="262">
        <f t="shared" si="20"/>
        <v>-1795.647798</v>
      </c>
      <c r="J225" s="258">
        <f>I225/B225*100</f>
        <v>-9.60642841799126</v>
      </c>
    </row>
    <row r="226" s="241" customFormat="1" ht="18" customHeight="1" spans="1:10">
      <c r="A226" s="253" t="s">
        <v>1429</v>
      </c>
      <c r="B226" s="260"/>
      <c r="C226" s="259"/>
      <c r="D226" s="258"/>
      <c r="E226" s="260"/>
      <c r="F226" s="262"/>
      <c r="G226" s="258"/>
      <c r="H226" s="260">
        <v>9300</v>
      </c>
      <c r="I226" s="262"/>
      <c r="J226" s="258"/>
    </row>
    <row r="227" s="241" customFormat="1" ht="18" customHeight="1" spans="1:10">
      <c r="A227" s="253" t="s">
        <v>1430</v>
      </c>
      <c r="B227" s="260"/>
      <c r="C227" s="259"/>
      <c r="D227" s="258"/>
      <c r="E227" s="260"/>
      <c r="F227" s="262"/>
      <c r="G227" s="258"/>
      <c r="H227" s="260">
        <v>487</v>
      </c>
      <c r="I227" s="262"/>
      <c r="J227" s="258"/>
    </row>
    <row r="228" s="241" customFormat="1" ht="18" customHeight="1" spans="1:10">
      <c r="A228" s="253" t="s">
        <v>1431</v>
      </c>
      <c r="B228" s="283"/>
      <c r="C228" s="259"/>
      <c r="D228" s="258"/>
      <c r="E228" s="260"/>
      <c r="F228" s="262"/>
      <c r="G228" s="258"/>
      <c r="H228" s="260">
        <v>649</v>
      </c>
      <c r="I228" s="262"/>
      <c r="J228" s="258"/>
    </row>
    <row r="229" s="241" customFormat="1" ht="18" customHeight="1" spans="1:10">
      <c r="A229" s="253" t="s">
        <v>1432</v>
      </c>
      <c r="B229" s="283"/>
      <c r="C229" s="259"/>
      <c r="D229" s="258"/>
      <c r="E229" s="260"/>
      <c r="F229" s="262"/>
      <c r="G229" s="258"/>
      <c r="H229" s="260">
        <v>0</v>
      </c>
      <c r="I229" s="262"/>
      <c r="J229" s="258"/>
    </row>
    <row r="230" s="241" customFormat="1" ht="18" customHeight="1" spans="1:10">
      <c r="A230" s="253" t="s">
        <v>1433</v>
      </c>
      <c r="B230" s="283"/>
      <c r="C230" s="259"/>
      <c r="D230" s="258"/>
      <c r="E230" s="260"/>
      <c r="F230" s="262"/>
      <c r="G230" s="258"/>
      <c r="H230" s="260">
        <v>2031</v>
      </c>
      <c r="I230" s="262"/>
      <c r="J230" s="258"/>
    </row>
    <row r="231" s="241" customFormat="1" ht="18" customHeight="1" spans="1:10">
      <c r="A231" s="253" t="s">
        <v>1434</v>
      </c>
      <c r="B231" s="283"/>
      <c r="C231" s="259"/>
      <c r="D231" s="258"/>
      <c r="E231" s="260"/>
      <c r="F231" s="262"/>
      <c r="G231" s="258"/>
      <c r="H231" s="260">
        <v>0</v>
      </c>
      <c r="I231" s="262"/>
      <c r="J231" s="258"/>
    </row>
    <row r="232" s="241" customFormat="1" ht="18" customHeight="1" spans="1:10">
      <c r="A232" s="253" t="s">
        <v>1435</v>
      </c>
      <c r="B232" s="280"/>
      <c r="C232" s="259"/>
      <c r="D232" s="258"/>
      <c r="E232" s="260"/>
      <c r="F232" s="262"/>
      <c r="G232" s="258"/>
      <c r="H232" s="260">
        <v>0</v>
      </c>
      <c r="I232" s="262"/>
      <c r="J232" s="258"/>
    </row>
    <row r="233" s="241" customFormat="1" ht="18" customHeight="1" spans="1:10">
      <c r="A233" s="253" t="s">
        <v>1436</v>
      </c>
      <c r="B233" s="280"/>
      <c r="C233" s="259"/>
      <c r="D233" s="258"/>
      <c r="E233" s="260"/>
      <c r="F233" s="262"/>
      <c r="G233" s="258"/>
      <c r="H233" s="260">
        <v>0</v>
      </c>
      <c r="I233" s="262"/>
      <c r="J233" s="258"/>
    </row>
    <row r="234" s="241" customFormat="1" ht="18" customHeight="1" spans="1:10">
      <c r="A234" s="253" t="s">
        <v>1437</v>
      </c>
      <c r="B234" s="283"/>
      <c r="C234" s="259"/>
      <c r="D234" s="258"/>
      <c r="E234" s="260"/>
      <c r="F234" s="262"/>
      <c r="G234" s="258"/>
      <c r="H234" s="260">
        <v>0</v>
      </c>
      <c r="I234" s="262"/>
      <c r="J234" s="258"/>
    </row>
    <row r="235" s="241" customFormat="1" ht="18" customHeight="1" spans="1:10">
      <c r="A235" s="253" t="s">
        <v>1438</v>
      </c>
      <c r="B235" s="283"/>
      <c r="C235" s="259"/>
      <c r="D235" s="258"/>
      <c r="E235" s="260"/>
      <c r="F235" s="262"/>
      <c r="G235" s="258"/>
      <c r="H235" s="260">
        <v>4429.5</v>
      </c>
      <c r="I235" s="262"/>
      <c r="J235" s="258"/>
    </row>
    <row r="236" s="241" customFormat="1" ht="18" customHeight="1" spans="1:10">
      <c r="A236" s="253" t="s">
        <v>1439</v>
      </c>
      <c r="B236" s="280"/>
      <c r="C236" s="260">
        <f>8994+890</f>
        <v>9884</v>
      </c>
      <c r="D236" s="258"/>
      <c r="E236" s="260">
        <v>1310</v>
      </c>
      <c r="F236" s="262">
        <f t="shared" ref="F236:F239" si="21">C236-E236</f>
        <v>8574</v>
      </c>
      <c r="G236" s="258"/>
      <c r="H236" s="260">
        <f>H237</f>
        <v>0</v>
      </c>
      <c r="I236" s="262">
        <f t="shared" ref="I236:I239" si="22">H236-B236</f>
        <v>0</v>
      </c>
      <c r="J236" s="258"/>
    </row>
    <row r="237" s="241" customFormat="1" ht="18" customHeight="1" spans="1:10">
      <c r="A237" s="253" t="s">
        <v>1440</v>
      </c>
      <c r="B237" s="280"/>
      <c r="C237" s="259"/>
      <c r="D237" s="258"/>
      <c r="E237" s="260"/>
      <c r="F237" s="262"/>
      <c r="G237" s="258"/>
      <c r="H237" s="260"/>
      <c r="I237" s="262"/>
      <c r="J237" s="258"/>
    </row>
    <row r="238" s="242" customFormat="1" ht="18" customHeight="1" spans="1:11">
      <c r="A238" s="251" t="s">
        <v>1441</v>
      </c>
      <c r="B238" s="252">
        <f>B239</f>
        <v>153823.5598</v>
      </c>
      <c r="C238" s="252">
        <f>C239</f>
        <v>129289</v>
      </c>
      <c r="D238" s="258">
        <f>C238/B238*100</f>
        <v>84.0501937207151</v>
      </c>
      <c r="E238" s="252">
        <f>E239</f>
        <v>106106</v>
      </c>
      <c r="F238" s="262">
        <f t="shared" si="21"/>
        <v>23183</v>
      </c>
      <c r="G238" s="258">
        <f>F238/E238*100</f>
        <v>21.84890581117</v>
      </c>
      <c r="H238" s="262">
        <f>H239</f>
        <v>182200</v>
      </c>
      <c r="I238" s="262">
        <f t="shared" si="22"/>
        <v>28376.4402</v>
      </c>
      <c r="J238" s="258">
        <f>I238/B238*100</f>
        <v>18.447395338461</v>
      </c>
      <c r="K238" s="241"/>
    </row>
    <row r="239" s="241" customFormat="1" ht="18" customHeight="1" spans="1:10">
      <c r="A239" s="253" t="s">
        <v>1442</v>
      </c>
      <c r="B239" s="260">
        <v>153823.5598</v>
      </c>
      <c r="C239" s="260">
        <v>129289</v>
      </c>
      <c r="D239" s="258">
        <f>C239/B239*100</f>
        <v>84.0501937207151</v>
      </c>
      <c r="E239" s="260">
        <v>106106</v>
      </c>
      <c r="F239" s="262">
        <f t="shared" si="21"/>
        <v>23183</v>
      </c>
      <c r="G239" s="258">
        <f>F239/E239*100</f>
        <v>21.84890581117</v>
      </c>
      <c r="H239" s="260">
        <f>SUM(H240:H253)</f>
        <v>182200</v>
      </c>
      <c r="I239" s="262">
        <f t="shared" si="22"/>
        <v>28376.4402</v>
      </c>
      <c r="J239" s="258">
        <f>I239/B239*100</f>
        <v>18.447395338461</v>
      </c>
    </row>
    <row r="240" s="241" customFormat="1" ht="18" customHeight="1" spans="1:10">
      <c r="A240" s="253" t="s">
        <v>1443</v>
      </c>
      <c r="B240" s="260"/>
      <c r="C240" s="260"/>
      <c r="D240" s="258"/>
      <c r="E240" s="260"/>
      <c r="F240" s="262"/>
      <c r="G240" s="258"/>
      <c r="H240" s="260">
        <v>0</v>
      </c>
      <c r="I240" s="262"/>
      <c r="J240" s="258"/>
    </row>
    <row r="241" s="241" customFormat="1" ht="18" customHeight="1" spans="1:10">
      <c r="A241" s="253" t="s">
        <v>1444</v>
      </c>
      <c r="B241" s="260"/>
      <c r="C241" s="260"/>
      <c r="D241" s="258"/>
      <c r="E241" s="260"/>
      <c r="F241" s="262"/>
      <c r="G241" s="258"/>
      <c r="H241" s="260">
        <f>49399+61410</f>
        <v>110809</v>
      </c>
      <c r="I241" s="262"/>
      <c r="J241" s="258"/>
    </row>
    <row r="242" s="241" customFormat="1" ht="18" customHeight="1" spans="1:10">
      <c r="A242" s="253" t="s">
        <v>1445</v>
      </c>
      <c r="B242" s="260"/>
      <c r="C242" s="260"/>
      <c r="D242" s="258"/>
      <c r="E242" s="260"/>
      <c r="F242" s="262"/>
      <c r="G242" s="258"/>
      <c r="H242" s="260">
        <v>0</v>
      </c>
      <c r="I242" s="262"/>
      <c r="J242" s="258"/>
    </row>
    <row r="243" s="241" customFormat="1" ht="18" customHeight="1" spans="1:10">
      <c r="A243" s="253" t="s">
        <v>1446</v>
      </c>
      <c r="B243" s="260"/>
      <c r="C243" s="260"/>
      <c r="D243" s="258"/>
      <c r="E243" s="260"/>
      <c r="F243" s="262"/>
      <c r="G243" s="258"/>
      <c r="H243" s="260">
        <v>0</v>
      </c>
      <c r="I243" s="262"/>
      <c r="J243" s="258"/>
    </row>
    <row r="244" s="241" customFormat="1" ht="18" customHeight="1" spans="1:10">
      <c r="A244" s="253" t="s">
        <v>1447</v>
      </c>
      <c r="B244" s="260"/>
      <c r="C244" s="260"/>
      <c r="D244" s="258"/>
      <c r="E244" s="260"/>
      <c r="F244" s="262"/>
      <c r="G244" s="258"/>
      <c r="H244" s="260">
        <v>0</v>
      </c>
      <c r="I244" s="262"/>
      <c r="J244" s="258"/>
    </row>
    <row r="245" s="241" customFormat="1" ht="18" customHeight="1" spans="1:10">
      <c r="A245" s="253" t="s">
        <v>1448</v>
      </c>
      <c r="B245" s="280"/>
      <c r="C245" s="259"/>
      <c r="D245" s="258"/>
      <c r="E245" s="260"/>
      <c r="F245" s="262"/>
      <c r="G245" s="258"/>
      <c r="H245" s="260">
        <v>0</v>
      </c>
      <c r="I245" s="262"/>
      <c r="J245" s="258"/>
    </row>
    <row r="246" s="241" customFormat="1" ht="18" customHeight="1" spans="1:10">
      <c r="A246" s="253" t="s">
        <v>1449</v>
      </c>
      <c r="B246" s="280"/>
      <c r="C246" s="259"/>
      <c r="D246" s="258"/>
      <c r="E246" s="260"/>
      <c r="F246" s="262"/>
      <c r="G246" s="258"/>
      <c r="H246" s="260">
        <v>0</v>
      </c>
      <c r="I246" s="262"/>
      <c r="J246" s="258"/>
    </row>
    <row r="247" s="241" customFormat="1" ht="18" customHeight="1" spans="1:10">
      <c r="A247" s="253" t="s">
        <v>1450</v>
      </c>
      <c r="B247" s="280"/>
      <c r="C247" s="259"/>
      <c r="D247" s="258"/>
      <c r="E247" s="260"/>
      <c r="F247" s="262"/>
      <c r="G247" s="258"/>
      <c r="H247" s="260">
        <v>0</v>
      </c>
      <c r="I247" s="262"/>
      <c r="J247" s="258"/>
    </row>
    <row r="248" s="241" customFormat="1" ht="18" customHeight="1" spans="1:10">
      <c r="A248" s="253" t="s">
        <v>1451</v>
      </c>
      <c r="B248" s="280"/>
      <c r="C248" s="259"/>
      <c r="D248" s="258"/>
      <c r="E248" s="260"/>
      <c r="F248" s="262"/>
      <c r="G248" s="258"/>
      <c r="H248" s="260">
        <v>0</v>
      </c>
      <c r="I248" s="262"/>
      <c r="J248" s="258"/>
    </row>
    <row r="249" s="241" customFormat="1" ht="18" customHeight="1" spans="1:10">
      <c r="A249" s="253" t="s">
        <v>1452</v>
      </c>
      <c r="B249" s="283"/>
      <c r="C249" s="259"/>
      <c r="D249" s="258"/>
      <c r="E249" s="260"/>
      <c r="F249" s="262"/>
      <c r="G249" s="258"/>
      <c r="H249" s="260">
        <v>2683</v>
      </c>
      <c r="I249" s="262"/>
      <c r="J249" s="258"/>
    </row>
    <row r="250" s="241" customFormat="1" ht="18" customHeight="1" spans="1:10">
      <c r="A250" s="253" t="s">
        <v>1453</v>
      </c>
      <c r="B250" s="280"/>
      <c r="C250" s="259"/>
      <c r="D250" s="258"/>
      <c r="E250" s="260"/>
      <c r="F250" s="262"/>
      <c r="G250" s="258"/>
      <c r="H250" s="260">
        <v>0</v>
      </c>
      <c r="I250" s="262"/>
      <c r="J250" s="258"/>
    </row>
    <row r="251" s="241" customFormat="1" ht="18" customHeight="1" spans="1:10">
      <c r="A251" s="253" t="s">
        <v>1454</v>
      </c>
      <c r="B251" s="283"/>
      <c r="C251" s="259"/>
      <c r="D251" s="258"/>
      <c r="E251" s="260"/>
      <c r="F251" s="262"/>
      <c r="G251" s="258"/>
      <c r="H251" s="260">
        <v>5466</v>
      </c>
      <c r="I251" s="262"/>
      <c r="J251" s="258"/>
    </row>
    <row r="252" s="241" customFormat="1" ht="18" customHeight="1" spans="1:10">
      <c r="A252" s="253" t="s">
        <v>1455</v>
      </c>
      <c r="B252" s="283"/>
      <c r="C252" s="259"/>
      <c r="D252" s="258"/>
      <c r="E252" s="260"/>
      <c r="F252" s="262"/>
      <c r="G252" s="258"/>
      <c r="H252" s="260">
        <v>51490</v>
      </c>
      <c r="I252" s="262"/>
      <c r="J252" s="258"/>
    </row>
    <row r="253" s="241" customFormat="1" ht="18" customHeight="1" spans="1:10">
      <c r="A253" s="253" t="s">
        <v>1456</v>
      </c>
      <c r="B253" s="283"/>
      <c r="C253" s="259"/>
      <c r="D253" s="258"/>
      <c r="E253" s="260"/>
      <c r="F253" s="262"/>
      <c r="G253" s="258"/>
      <c r="H253" s="260">
        <v>11752</v>
      </c>
      <c r="I253" s="262"/>
      <c r="J253" s="258"/>
    </row>
    <row r="254" s="242" customFormat="1" ht="18" customHeight="1" spans="1:11">
      <c r="A254" s="251" t="s">
        <v>1457</v>
      </c>
      <c r="B254" s="252">
        <f>B255</f>
        <v>1323.262028</v>
      </c>
      <c r="C254" s="252">
        <f>C255</f>
        <v>1575</v>
      </c>
      <c r="D254" s="258">
        <f>C254/B254*100</f>
        <v>119.024045629155</v>
      </c>
      <c r="E254" s="252">
        <f>E255</f>
        <v>1234</v>
      </c>
      <c r="F254" s="262">
        <f>C254-E254</f>
        <v>341</v>
      </c>
      <c r="G254" s="258">
        <f>F254/E254*100</f>
        <v>27.6337115072934</v>
      </c>
      <c r="H254" s="262">
        <f>H255</f>
        <v>1013</v>
      </c>
      <c r="I254" s="262">
        <f>H254-B254</f>
        <v>-310.262028</v>
      </c>
      <c r="J254" s="258">
        <f>I254/B254*100</f>
        <v>-23.4467566842325</v>
      </c>
      <c r="K254" s="241"/>
    </row>
    <row r="255" s="242" customFormat="1" ht="18" customHeight="1" spans="1:11">
      <c r="A255" s="253" t="s">
        <v>1458</v>
      </c>
      <c r="B255" s="260">
        <v>1323.262028</v>
      </c>
      <c r="C255" s="260">
        <v>1575</v>
      </c>
      <c r="D255" s="258">
        <f>C255/B255*100</f>
        <v>119.024045629155</v>
      </c>
      <c r="E255" s="260">
        <v>1234</v>
      </c>
      <c r="F255" s="262">
        <f>C255-E255</f>
        <v>341</v>
      </c>
      <c r="G255" s="258">
        <f>F255/E255*100</f>
        <v>27.6337115072934</v>
      </c>
      <c r="H255" s="260">
        <f>SUM(H256:H269)</f>
        <v>1013</v>
      </c>
      <c r="I255" s="262">
        <f>H255-B255</f>
        <v>-310.262028</v>
      </c>
      <c r="J255" s="258">
        <f>I255/B255*100</f>
        <v>-23.4467566842325</v>
      </c>
      <c r="K255" s="241"/>
    </row>
    <row r="256" s="242" customFormat="1" ht="18" customHeight="1" spans="1:11">
      <c r="A256" s="253" t="s">
        <v>1459</v>
      </c>
      <c r="B256" s="280"/>
      <c r="C256" s="260"/>
      <c r="D256" s="258"/>
      <c r="E256" s="260"/>
      <c r="F256" s="262"/>
      <c r="G256" s="258"/>
      <c r="H256" s="260">
        <v>0</v>
      </c>
      <c r="I256" s="262"/>
      <c r="J256" s="258"/>
      <c r="K256" s="241"/>
    </row>
    <row r="257" s="242" customFormat="1" ht="18" customHeight="1" spans="1:11">
      <c r="A257" s="253" t="s">
        <v>1460</v>
      </c>
      <c r="B257" s="280"/>
      <c r="C257" s="260"/>
      <c r="D257" s="258"/>
      <c r="E257" s="260"/>
      <c r="F257" s="262"/>
      <c r="G257" s="258"/>
      <c r="H257" s="260">
        <v>292</v>
      </c>
      <c r="I257" s="262"/>
      <c r="J257" s="258"/>
      <c r="K257" s="241"/>
    </row>
    <row r="258" s="242" customFormat="1" ht="18" customHeight="1" spans="1:11">
      <c r="A258" s="253" t="s">
        <v>1461</v>
      </c>
      <c r="B258" s="280"/>
      <c r="C258" s="259"/>
      <c r="D258" s="258"/>
      <c r="E258" s="260"/>
      <c r="F258" s="262"/>
      <c r="G258" s="258"/>
      <c r="H258" s="260">
        <v>0</v>
      </c>
      <c r="I258" s="262"/>
      <c r="J258" s="258"/>
      <c r="K258" s="241"/>
    </row>
    <row r="259" s="242" customFormat="1" ht="18" customHeight="1" spans="1:11">
      <c r="A259" s="253" t="s">
        <v>1462</v>
      </c>
      <c r="B259" s="280"/>
      <c r="C259" s="259"/>
      <c r="D259" s="258"/>
      <c r="E259" s="260"/>
      <c r="F259" s="262"/>
      <c r="G259" s="258"/>
      <c r="H259" s="260">
        <v>0</v>
      </c>
      <c r="I259" s="262"/>
      <c r="J259" s="258"/>
      <c r="K259" s="241"/>
    </row>
    <row r="260" s="242" customFormat="1" ht="18" customHeight="1" spans="1:11">
      <c r="A260" s="253" t="s">
        <v>1463</v>
      </c>
      <c r="B260" s="280"/>
      <c r="C260" s="259"/>
      <c r="D260" s="258"/>
      <c r="E260" s="260"/>
      <c r="F260" s="262"/>
      <c r="G260" s="258"/>
      <c r="H260" s="260">
        <v>0</v>
      </c>
      <c r="I260" s="262"/>
      <c r="J260" s="258"/>
      <c r="K260" s="241"/>
    </row>
    <row r="261" s="242" customFormat="1" ht="18" customHeight="1" spans="1:11">
      <c r="A261" s="253" t="s">
        <v>1464</v>
      </c>
      <c r="B261" s="280"/>
      <c r="C261" s="259"/>
      <c r="D261" s="258"/>
      <c r="E261" s="260"/>
      <c r="F261" s="262"/>
      <c r="G261" s="258"/>
      <c r="H261" s="260">
        <v>0</v>
      </c>
      <c r="I261" s="262"/>
      <c r="J261" s="258"/>
      <c r="K261" s="241"/>
    </row>
    <row r="262" s="242" customFormat="1" ht="18" customHeight="1" spans="1:11">
      <c r="A262" s="253" t="s">
        <v>1465</v>
      </c>
      <c r="B262" s="280"/>
      <c r="C262" s="259"/>
      <c r="D262" s="258"/>
      <c r="E262" s="260"/>
      <c r="F262" s="262"/>
      <c r="G262" s="258"/>
      <c r="H262" s="260">
        <v>0</v>
      </c>
      <c r="I262" s="262"/>
      <c r="J262" s="258"/>
      <c r="K262" s="241"/>
    </row>
    <row r="263" s="242" customFormat="1" ht="18" customHeight="1" spans="1:11">
      <c r="A263" s="253" t="s">
        <v>1466</v>
      </c>
      <c r="B263" s="280"/>
      <c r="C263" s="259"/>
      <c r="D263" s="258"/>
      <c r="E263" s="260"/>
      <c r="F263" s="262"/>
      <c r="G263" s="258"/>
      <c r="H263" s="260">
        <v>0</v>
      </c>
      <c r="I263" s="262"/>
      <c r="J263" s="258"/>
      <c r="K263" s="241"/>
    </row>
    <row r="264" s="242" customFormat="1" ht="18" customHeight="1" spans="1:11">
      <c r="A264" s="253" t="s">
        <v>1467</v>
      </c>
      <c r="B264" s="280"/>
      <c r="C264" s="259"/>
      <c r="D264" s="258"/>
      <c r="E264" s="260"/>
      <c r="F264" s="262"/>
      <c r="G264" s="258"/>
      <c r="H264" s="260">
        <v>0</v>
      </c>
      <c r="I264" s="262"/>
      <c r="J264" s="258"/>
      <c r="K264" s="241"/>
    </row>
    <row r="265" s="242" customFormat="1" ht="18" customHeight="1" spans="1:11">
      <c r="A265" s="253" t="s">
        <v>1468</v>
      </c>
      <c r="B265" s="280"/>
      <c r="C265" s="259"/>
      <c r="D265" s="258"/>
      <c r="E265" s="260"/>
      <c r="F265" s="262"/>
      <c r="G265" s="258"/>
      <c r="H265" s="260">
        <v>83</v>
      </c>
      <c r="I265" s="262"/>
      <c r="J265" s="258"/>
      <c r="K265" s="241"/>
    </row>
    <row r="266" s="242" customFormat="1" ht="18" customHeight="1" spans="1:11">
      <c r="A266" s="253" t="s">
        <v>1469</v>
      </c>
      <c r="B266" s="280"/>
      <c r="C266" s="259"/>
      <c r="D266" s="258"/>
      <c r="E266" s="260"/>
      <c r="F266" s="262"/>
      <c r="G266" s="258"/>
      <c r="H266" s="260">
        <v>0</v>
      </c>
      <c r="I266" s="262"/>
      <c r="J266" s="258"/>
      <c r="K266" s="241"/>
    </row>
    <row r="267" s="242" customFormat="1" ht="18" customHeight="1" spans="1:11">
      <c r="A267" s="253" t="s">
        <v>1470</v>
      </c>
      <c r="B267" s="280"/>
      <c r="C267" s="259"/>
      <c r="D267" s="258"/>
      <c r="E267" s="260"/>
      <c r="F267" s="262"/>
      <c r="G267" s="258"/>
      <c r="H267" s="260">
        <v>22</v>
      </c>
      <c r="I267" s="262"/>
      <c r="J267" s="258"/>
      <c r="K267" s="241"/>
    </row>
    <row r="268" s="242" customFormat="1" ht="18" customHeight="1" spans="1:11">
      <c r="A268" s="253" t="s">
        <v>1471</v>
      </c>
      <c r="B268" s="280"/>
      <c r="C268" s="259"/>
      <c r="D268" s="258"/>
      <c r="E268" s="260"/>
      <c r="F268" s="262"/>
      <c r="G268" s="258"/>
      <c r="H268" s="260">
        <v>516</v>
      </c>
      <c r="I268" s="262"/>
      <c r="J268" s="258"/>
      <c r="K268" s="241"/>
    </row>
    <row r="269" s="242" customFormat="1" ht="18" customHeight="1" spans="1:11">
      <c r="A269" s="253" t="s">
        <v>1472</v>
      </c>
      <c r="B269" s="280"/>
      <c r="C269" s="259"/>
      <c r="D269" s="258"/>
      <c r="E269" s="260"/>
      <c r="F269" s="262"/>
      <c r="G269" s="258"/>
      <c r="H269" s="260">
        <v>100</v>
      </c>
      <c r="I269" s="262"/>
      <c r="J269" s="258"/>
      <c r="K269" s="241"/>
    </row>
    <row r="270" s="241" customFormat="1" ht="18" customHeight="1" spans="1:10">
      <c r="A270" s="270" t="s">
        <v>1473</v>
      </c>
      <c r="B270" s="252">
        <f>B7+B14+B17+B40+B45+B52+B63+B124+B149+B180+B185+B190+B194+B198+B202+B207+B238+B254</f>
        <v>1128210.2109</v>
      </c>
      <c r="C270" s="252">
        <f>C7+C14+C17+C40+C45+C52+C63+C124+C149+C180+C185+C190+C194+C198+C202+C207+C238+C254</f>
        <v>1246624.856016</v>
      </c>
      <c r="D270" s="258">
        <f>C270/B270*100</f>
        <v>110.495796259594</v>
      </c>
      <c r="E270" s="278">
        <f>E7+E14+E17+E40+E45+E52+E63+E124+E149+E180+E185+E190+E194+E198+E202+E207+E238+E254</f>
        <v>1508075</v>
      </c>
      <c r="F270" s="262">
        <f>C270-E270</f>
        <v>-261450.143984</v>
      </c>
      <c r="G270" s="258">
        <f>F270/E270*100</f>
        <v>-17.3366804690748</v>
      </c>
      <c r="H270" s="262">
        <f>H7+H14+H17+H40+H45+H52+H63+H124+H149+H180+H185+H190+H194+H198+H202+H207+H238+H254</f>
        <v>549488</v>
      </c>
      <c r="I270" s="262">
        <f>H270-B270</f>
        <v>-578722.2109</v>
      </c>
      <c r="J270" s="258">
        <f>I270/B270*100</f>
        <v>-51.2956012371435</v>
      </c>
    </row>
    <row r="271" s="241" customFormat="1" ht="18" customHeight="1" spans="1:10">
      <c r="A271" s="271" t="s">
        <v>1038</v>
      </c>
      <c r="B271" s="252">
        <f>SUM(B272:B276)</f>
        <v>414904</v>
      </c>
      <c r="C271" s="252">
        <f>SUM(C272:C276)</f>
        <v>189673</v>
      </c>
      <c r="D271" s="259"/>
      <c r="E271" s="259"/>
      <c r="F271" s="259"/>
      <c r="G271" s="259"/>
      <c r="H271" s="262">
        <f>SUM(H272:H276)</f>
        <v>72108</v>
      </c>
      <c r="I271" s="260"/>
      <c r="J271" s="260"/>
    </row>
    <row r="272" s="241" customFormat="1" ht="18" customHeight="1" spans="1:10">
      <c r="A272" s="146" t="s">
        <v>1474</v>
      </c>
      <c r="B272" s="272"/>
      <c r="C272" s="260"/>
      <c r="D272" s="259"/>
      <c r="E272" s="259"/>
      <c r="F272" s="259"/>
      <c r="G272" s="259"/>
      <c r="H272" s="260"/>
      <c r="I272" s="260"/>
      <c r="J272" s="260"/>
    </row>
    <row r="273" s="241" customFormat="1" ht="18" customHeight="1" spans="1:10">
      <c r="A273" s="146" t="s">
        <v>1475</v>
      </c>
      <c r="B273" s="272"/>
      <c r="C273" s="260"/>
      <c r="D273" s="259"/>
      <c r="E273" s="259"/>
      <c r="F273" s="259"/>
      <c r="G273" s="259"/>
      <c r="H273" s="260"/>
      <c r="I273" s="260"/>
      <c r="J273" s="260"/>
    </row>
    <row r="274" s="241" customFormat="1" ht="18" customHeight="1" spans="1:10">
      <c r="A274" s="146" t="s">
        <v>1476</v>
      </c>
      <c r="B274" s="272">
        <v>414904</v>
      </c>
      <c r="C274" s="284">
        <f>72320-158</f>
        <v>72162</v>
      </c>
      <c r="D274" s="259"/>
      <c r="E274" s="259"/>
      <c r="F274" s="259"/>
      <c r="G274" s="259"/>
      <c r="H274" s="260">
        <v>72108</v>
      </c>
      <c r="I274" s="260"/>
      <c r="J274" s="260"/>
    </row>
    <row r="275" s="241" customFormat="1" ht="18" customHeight="1" spans="1:10">
      <c r="A275" s="146" t="s">
        <v>1477</v>
      </c>
      <c r="B275" s="272"/>
      <c r="C275" s="259"/>
      <c r="D275" s="259"/>
      <c r="E275" s="259"/>
      <c r="F275" s="259"/>
      <c r="G275" s="259"/>
      <c r="H275" s="260"/>
      <c r="I275" s="260"/>
      <c r="J275" s="260"/>
    </row>
    <row r="276" s="241" customFormat="1" ht="18" customHeight="1" spans="1:10">
      <c r="A276" s="146" t="s">
        <v>1478</v>
      </c>
      <c r="B276" s="272"/>
      <c r="C276" s="260">
        <f>'政府性基金收入表（全市）'!H45</f>
        <v>117511</v>
      </c>
      <c r="D276" s="259"/>
      <c r="E276" s="259"/>
      <c r="F276" s="259"/>
      <c r="G276" s="259"/>
      <c r="H276" s="260"/>
      <c r="I276" s="260"/>
      <c r="J276" s="260"/>
    </row>
    <row r="277" s="241" customFormat="1" ht="18" customHeight="1" spans="1:10">
      <c r="A277" s="271" t="s">
        <v>1049</v>
      </c>
      <c r="B277" s="252">
        <f>B278</f>
        <v>90250</v>
      </c>
      <c r="C277" s="252">
        <f>C278</f>
        <v>1006506</v>
      </c>
      <c r="D277" s="259"/>
      <c r="E277" s="259"/>
      <c r="F277" s="259"/>
      <c r="G277" s="259"/>
      <c r="H277" s="262">
        <f>H278</f>
        <v>371881</v>
      </c>
      <c r="I277" s="260"/>
      <c r="J277" s="260"/>
    </row>
    <row r="278" s="241" customFormat="1" ht="18" customHeight="1" spans="1:10">
      <c r="A278" s="146" t="s">
        <v>1479</v>
      </c>
      <c r="B278" s="272">
        <v>90250</v>
      </c>
      <c r="C278" s="260">
        <f>90724+552220+363562</f>
        <v>1006506</v>
      </c>
      <c r="D278" s="259"/>
      <c r="E278" s="259"/>
      <c r="F278" s="259"/>
      <c r="G278" s="259"/>
      <c r="H278" s="260">
        <v>371881</v>
      </c>
      <c r="I278" s="260"/>
      <c r="J278" s="260"/>
    </row>
    <row r="279" s="241" customFormat="1" ht="18" customHeight="1" spans="1:10">
      <c r="A279" s="274" t="s">
        <v>1050</v>
      </c>
      <c r="B279" s="279">
        <f>B270+B271+B277</f>
        <v>1633364.2109</v>
      </c>
      <c r="C279" s="279">
        <f>C270+C271+C277</f>
        <v>2442803.856016</v>
      </c>
      <c r="D279" s="259"/>
      <c r="E279" s="279"/>
      <c r="F279" s="259"/>
      <c r="G279" s="259"/>
      <c r="H279" s="262">
        <f>H270+H271+H277</f>
        <v>993477</v>
      </c>
      <c r="I279" s="260"/>
      <c r="J279" s="260"/>
    </row>
    <row r="280" spans="3:3">
      <c r="C280" s="275">
        <f>'政府性基金收入表（全市）'!C49-'政府性基金支出表（全市）'!C279</f>
        <v>0.174340000376105</v>
      </c>
    </row>
    <row r="281" spans="3:8">
      <c r="C281" s="276"/>
      <c r="D281" s="277">
        <f>D279-'政府性基金收入表（全市）'!D49</f>
        <v>0</v>
      </c>
      <c r="E281" s="277">
        <f>E279-'政府性基金收入表（全市）'!E49</f>
        <v>0</v>
      </c>
      <c r="F281" s="277">
        <f>F279-'政府性基金收入表（全市）'!F49</f>
        <v>0</v>
      </c>
      <c r="G281" s="277">
        <f>G279-'政府性基金收入表（全市）'!G49</f>
        <v>0</v>
      </c>
      <c r="H281" s="277">
        <f>H279-'政府性基金收入表（全市）'!H49</f>
        <v>0</v>
      </c>
    </row>
    <row r="282" spans="3:8">
      <c r="C282" s="276"/>
      <c r="D282" s="277"/>
      <c r="E282" s="277"/>
      <c r="F282" s="277"/>
      <c r="G282" s="277"/>
      <c r="H282" s="277"/>
    </row>
    <row r="283" spans="3:8">
      <c r="C283" s="276"/>
      <c r="D283" s="277"/>
      <c r="E283" s="277"/>
      <c r="F283" s="277"/>
      <c r="G283" s="277"/>
      <c r="H283" s="277"/>
    </row>
  </sheetData>
  <mergeCells count="11">
    <mergeCell ref="A2:J2"/>
    <mergeCell ref="C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629166666666667" right="0.786805555555556" top="0.786805555555556" bottom="0.786805555555556" header="0.313888888888889" footer="0.313888888888889"/>
  <pageSetup paperSize="9" scale="82" fitToHeight="0" orientation="landscape"/>
  <headerFooter>
    <oddFooter>&amp;C第 &amp;P 页，共 &amp;N 页</oddFooter>
  </headerFooter>
  <ignoredErrors>
    <ignoredError sqref="B271 B277:C277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83"/>
  <sheetViews>
    <sheetView showZeros="0" view="pageBreakPreview" zoomScale="110" zoomScaleNormal="100" zoomScaleSheetLayoutView="110" workbookViewId="0">
      <pane xSplit="1" ySplit="6" topLeftCell="B263" activePane="bottomRight" state="frozen"/>
      <selection/>
      <selection pane="topRight"/>
      <selection pane="bottomLeft"/>
      <selection pane="bottomRight" activeCell="A270" sqref="A270"/>
    </sheetView>
  </sheetViews>
  <sheetFormatPr defaultColWidth="9" defaultRowHeight="14.25"/>
  <cols>
    <col min="1" max="1" width="57.5" style="243" customWidth="1"/>
    <col min="2" max="2" width="12.8333333333333" style="244" customWidth="1"/>
    <col min="3" max="3" width="13.25" style="245" customWidth="1"/>
    <col min="4" max="4" width="9.83333333333333" style="246" customWidth="1"/>
    <col min="5" max="5" width="13.2916666666667" style="246" hidden="1" customWidth="1"/>
    <col min="6" max="6" width="10.45" style="246" customWidth="1"/>
    <col min="7" max="7" width="9.58333333333333" style="246" customWidth="1"/>
    <col min="8" max="8" width="13.25" style="246" customWidth="1"/>
    <col min="9" max="9" width="11.3333333333333" style="246" customWidth="1"/>
    <col min="10" max="10" width="10.3333333333333" style="246" customWidth="1"/>
    <col min="11" max="11" width="11.5" style="246"/>
    <col min="12" max="12" width="9" style="246" hidden="1" customWidth="1"/>
    <col min="13" max="16384" width="9" style="246"/>
  </cols>
  <sheetData>
    <row r="1" s="164" customFormat="1" ht="26.25" customHeight="1" spans="1:9">
      <c r="A1" s="122" t="s">
        <v>1480</v>
      </c>
      <c r="B1" s="247"/>
      <c r="C1" s="165"/>
      <c r="D1" s="165"/>
      <c r="E1" s="165"/>
      <c r="F1" s="165"/>
      <c r="G1" s="168"/>
      <c r="H1" s="165"/>
      <c r="I1" s="165"/>
    </row>
    <row r="2" ht="35.25" customHeight="1" spans="1:10">
      <c r="A2" s="248" t="s">
        <v>1481</v>
      </c>
      <c r="B2" s="248"/>
      <c r="C2" s="248"/>
      <c r="D2" s="248"/>
      <c r="E2" s="248"/>
      <c r="F2" s="248"/>
      <c r="G2" s="248"/>
      <c r="H2" s="248"/>
      <c r="I2" s="248"/>
      <c r="J2" s="248"/>
    </row>
    <row r="3" ht="18" customHeight="1" spans="10:10">
      <c r="J3" s="268" t="s">
        <v>1055</v>
      </c>
    </row>
    <row r="4" s="241" customFormat="1" ht="18" customHeight="1" spans="1:10">
      <c r="A4" s="249" t="s">
        <v>1139</v>
      </c>
      <c r="B4" s="249"/>
      <c r="C4" s="250"/>
      <c r="D4" s="250"/>
      <c r="E4" s="250"/>
      <c r="F4" s="250"/>
      <c r="G4" s="250"/>
      <c r="H4" s="250" t="s">
        <v>36</v>
      </c>
      <c r="I4" s="250"/>
      <c r="J4" s="250"/>
    </row>
    <row r="5" s="241" customFormat="1" ht="28" customHeight="1" spans="1:10">
      <c r="A5" s="249"/>
      <c r="B5" s="150" t="s">
        <v>1198</v>
      </c>
      <c r="C5" s="249" t="s">
        <v>38</v>
      </c>
      <c r="D5" s="249" t="s">
        <v>39</v>
      </c>
      <c r="E5" s="266" t="s">
        <v>1243</v>
      </c>
      <c r="F5" s="249" t="s">
        <v>1200</v>
      </c>
      <c r="G5" s="249"/>
      <c r="H5" s="249" t="s">
        <v>42</v>
      </c>
      <c r="I5" s="249" t="s">
        <v>152</v>
      </c>
      <c r="J5" s="249"/>
    </row>
    <row r="6" s="241" customFormat="1" ht="18" customHeight="1" spans="1:10">
      <c r="A6" s="249"/>
      <c r="B6" s="150"/>
      <c r="C6" s="249"/>
      <c r="D6" s="249"/>
      <c r="E6" s="267"/>
      <c r="F6" s="249" t="s">
        <v>44</v>
      </c>
      <c r="G6" s="249" t="s">
        <v>45</v>
      </c>
      <c r="H6" s="249"/>
      <c r="I6" s="250" t="s">
        <v>44</v>
      </c>
      <c r="J6" s="250" t="s">
        <v>45</v>
      </c>
    </row>
    <row r="7" s="241" customFormat="1" ht="18" customHeight="1" spans="1:10">
      <c r="A7" s="251" t="s">
        <v>1244</v>
      </c>
      <c r="B7" s="252">
        <f>B8</f>
        <v>190</v>
      </c>
      <c r="C7" s="249"/>
      <c r="D7" s="249"/>
      <c r="E7" s="267"/>
      <c r="F7" s="249"/>
      <c r="G7" s="249"/>
      <c r="H7" s="249">
        <f>H8</f>
        <v>0</v>
      </c>
      <c r="I7" s="250"/>
      <c r="J7" s="250"/>
    </row>
    <row r="8" s="241" customFormat="1" ht="18" customHeight="1" spans="1:10">
      <c r="A8" s="253" t="s">
        <v>1245</v>
      </c>
      <c r="B8" s="254">
        <v>190</v>
      </c>
      <c r="C8" s="249"/>
      <c r="D8" s="249"/>
      <c r="E8" s="267"/>
      <c r="F8" s="249"/>
      <c r="G8" s="249"/>
      <c r="H8" s="249">
        <f>SUM(H9:H13)</f>
        <v>0</v>
      </c>
      <c r="I8" s="250"/>
      <c r="J8" s="250"/>
    </row>
    <row r="9" s="241" customFormat="1" ht="18" customHeight="1" spans="1:10">
      <c r="A9" s="253" t="s">
        <v>1246</v>
      </c>
      <c r="B9" s="254"/>
      <c r="C9" s="249"/>
      <c r="D9" s="249"/>
      <c r="E9" s="267"/>
      <c r="F9" s="249"/>
      <c r="G9" s="249"/>
      <c r="H9" s="249"/>
      <c r="I9" s="250"/>
      <c r="J9" s="250"/>
    </row>
    <row r="10" s="241" customFormat="1" ht="18" customHeight="1" spans="1:10">
      <c r="A10" s="253" t="s">
        <v>1247</v>
      </c>
      <c r="B10" s="254"/>
      <c r="C10" s="249"/>
      <c r="D10" s="249"/>
      <c r="E10" s="267"/>
      <c r="F10" s="249"/>
      <c r="G10" s="249"/>
      <c r="H10" s="249"/>
      <c r="I10" s="250"/>
      <c r="J10" s="250"/>
    </row>
    <row r="11" s="241" customFormat="1" ht="18" customHeight="1" spans="1:10">
      <c r="A11" s="253" t="s">
        <v>1248</v>
      </c>
      <c r="B11" s="254"/>
      <c r="C11" s="249"/>
      <c r="D11" s="249"/>
      <c r="E11" s="267"/>
      <c r="F11" s="249"/>
      <c r="G11" s="249"/>
      <c r="H11" s="249"/>
      <c r="I11" s="250"/>
      <c r="J11" s="250"/>
    </row>
    <row r="12" s="241" customFormat="1" ht="18" customHeight="1" spans="1:10">
      <c r="A12" s="253" t="s">
        <v>1249</v>
      </c>
      <c r="B12" s="254"/>
      <c r="C12" s="249"/>
      <c r="D12" s="249"/>
      <c r="E12" s="267"/>
      <c r="F12" s="249"/>
      <c r="G12" s="249"/>
      <c r="H12" s="249"/>
      <c r="I12" s="250"/>
      <c r="J12" s="250"/>
    </row>
    <row r="13" s="241" customFormat="1" ht="18" customHeight="1" spans="1:10">
      <c r="A13" s="253" t="s">
        <v>1250</v>
      </c>
      <c r="B13" s="254"/>
      <c r="C13" s="249"/>
      <c r="D13" s="249"/>
      <c r="E13" s="267"/>
      <c r="F13" s="249"/>
      <c r="G13" s="249"/>
      <c r="H13" s="249"/>
      <c r="I13" s="250"/>
      <c r="J13" s="250"/>
    </row>
    <row r="14" s="242" customFormat="1" ht="18" customHeight="1" spans="1:11">
      <c r="A14" s="255" t="s">
        <v>1251</v>
      </c>
      <c r="B14" s="256">
        <f>B15+B16</f>
        <v>0</v>
      </c>
      <c r="C14" s="257">
        <f>C15+C16</f>
        <v>0</v>
      </c>
      <c r="D14" s="258"/>
      <c r="E14" s="262">
        <f>E15+E16</f>
        <v>0</v>
      </c>
      <c r="F14" s="262">
        <f t="shared" ref="F14:F18" si="0">C14-E14</f>
        <v>0</v>
      </c>
      <c r="G14" s="258"/>
      <c r="H14" s="262">
        <f>H15+H16</f>
        <v>0</v>
      </c>
      <c r="I14" s="262"/>
      <c r="J14" s="258"/>
      <c r="K14" s="241"/>
    </row>
    <row r="15" s="241" customFormat="1" ht="18" customHeight="1" spans="1:10">
      <c r="A15" s="253" t="s">
        <v>1252</v>
      </c>
      <c r="B15" s="254"/>
      <c r="C15" s="259"/>
      <c r="D15" s="258"/>
      <c r="E15" s="260"/>
      <c r="F15" s="262">
        <f t="shared" si="0"/>
        <v>0</v>
      </c>
      <c r="G15" s="258"/>
      <c r="H15" s="260"/>
      <c r="I15" s="262"/>
      <c r="J15" s="258"/>
    </row>
    <row r="16" s="241" customFormat="1" ht="18" customHeight="1" spans="1:10">
      <c r="A16" s="253" t="s">
        <v>1245</v>
      </c>
      <c r="B16" s="254"/>
      <c r="C16" s="259"/>
      <c r="D16" s="258"/>
      <c r="E16" s="260"/>
      <c r="F16" s="262"/>
      <c r="G16" s="258"/>
      <c r="H16" s="260"/>
      <c r="I16" s="262"/>
      <c r="J16" s="258"/>
    </row>
    <row r="17" s="242" customFormat="1" ht="18" customHeight="1" spans="1:11">
      <c r="A17" s="251" t="s">
        <v>1253</v>
      </c>
      <c r="B17" s="252">
        <f>B18+B24+B30+B33</f>
        <v>280</v>
      </c>
      <c r="C17" s="252">
        <f>C18+C24+C30+C33</f>
        <v>70</v>
      </c>
      <c r="D17" s="258">
        <f>C17/B17*100</f>
        <v>25</v>
      </c>
      <c r="E17" s="252">
        <f>E18+E24+E30+E33</f>
        <v>62</v>
      </c>
      <c r="F17" s="262">
        <f t="shared" si="0"/>
        <v>8</v>
      </c>
      <c r="G17" s="258">
        <f>F17/E17*100</f>
        <v>12.9032258064516</v>
      </c>
      <c r="H17" s="262">
        <f>H18+H24+H30+H33</f>
        <v>225</v>
      </c>
      <c r="I17" s="262">
        <f>H17-B17</f>
        <v>-55</v>
      </c>
      <c r="J17" s="258">
        <f>I17/B17*100</f>
        <v>-19.6428571428571</v>
      </c>
      <c r="K17" s="241"/>
    </row>
    <row r="18" s="241" customFormat="1" ht="18" customHeight="1" spans="1:10">
      <c r="A18" s="253" t="s">
        <v>1254</v>
      </c>
      <c r="B18" s="254"/>
      <c r="C18" s="259"/>
      <c r="D18" s="258"/>
      <c r="E18" s="260">
        <v>62</v>
      </c>
      <c r="F18" s="262">
        <f t="shared" si="0"/>
        <v>-62</v>
      </c>
      <c r="G18" s="258">
        <f>F18/E18*100</f>
        <v>-100</v>
      </c>
      <c r="H18" s="260">
        <f>SUM(H19:H23)</f>
        <v>11</v>
      </c>
      <c r="I18" s="262">
        <f>H18-B18</f>
        <v>11</v>
      </c>
      <c r="J18" s="258"/>
    </row>
    <row r="19" s="241" customFormat="1" ht="18" customHeight="1" spans="1:10">
      <c r="A19" s="253" t="s">
        <v>1255</v>
      </c>
      <c r="B19" s="254"/>
      <c r="C19" s="259"/>
      <c r="D19" s="258"/>
      <c r="E19" s="260"/>
      <c r="F19" s="262"/>
      <c r="G19" s="258"/>
      <c r="H19" s="260">
        <v>0</v>
      </c>
      <c r="I19" s="262"/>
      <c r="J19" s="258"/>
    </row>
    <row r="20" s="241" customFormat="1" ht="18" customHeight="1" spans="1:10">
      <c r="A20" s="253" t="s">
        <v>1256</v>
      </c>
      <c r="B20" s="254"/>
      <c r="C20" s="259"/>
      <c r="D20" s="258"/>
      <c r="E20" s="260"/>
      <c r="F20" s="262"/>
      <c r="G20" s="258"/>
      <c r="H20" s="260">
        <v>11</v>
      </c>
      <c r="I20" s="262"/>
      <c r="J20" s="258"/>
    </row>
    <row r="21" s="241" customFormat="1" ht="18" customHeight="1" spans="1:10">
      <c r="A21" s="253" t="s">
        <v>1257</v>
      </c>
      <c r="B21" s="254"/>
      <c r="C21" s="259"/>
      <c r="D21" s="258"/>
      <c r="E21" s="260"/>
      <c r="F21" s="262"/>
      <c r="G21" s="258"/>
      <c r="H21" s="260">
        <v>0</v>
      </c>
      <c r="I21" s="262"/>
      <c r="J21" s="258"/>
    </row>
    <row r="22" s="241" customFormat="1" ht="18" customHeight="1" spans="1:10">
      <c r="A22" s="253" t="s">
        <v>1258</v>
      </c>
      <c r="B22" s="254"/>
      <c r="C22" s="259"/>
      <c r="D22" s="258"/>
      <c r="E22" s="260"/>
      <c r="F22" s="262"/>
      <c r="G22" s="258"/>
      <c r="H22" s="260">
        <v>0</v>
      </c>
      <c r="I22" s="262"/>
      <c r="J22" s="258"/>
    </row>
    <row r="23" s="241" customFormat="1" ht="18" customHeight="1" spans="1:10">
      <c r="A23" s="253" t="s">
        <v>1259</v>
      </c>
      <c r="B23" s="254"/>
      <c r="C23" s="259"/>
      <c r="D23" s="258"/>
      <c r="E23" s="260"/>
      <c r="F23" s="262"/>
      <c r="G23" s="258"/>
      <c r="H23" s="260">
        <v>0</v>
      </c>
      <c r="I23" s="262"/>
      <c r="J23" s="258"/>
    </row>
    <row r="24" s="241" customFormat="1" ht="18" customHeight="1" spans="1:10">
      <c r="A24" s="253" t="s">
        <v>1260</v>
      </c>
      <c r="B24" s="254">
        <v>280</v>
      </c>
      <c r="C24" s="260">
        <v>70</v>
      </c>
      <c r="D24" s="258">
        <f>C24/B24*100</f>
        <v>25</v>
      </c>
      <c r="E24" s="260">
        <f>SUM(E25:E29)</f>
        <v>0</v>
      </c>
      <c r="F24" s="262">
        <f>C24-E24</f>
        <v>70</v>
      </c>
      <c r="G24" s="258"/>
      <c r="H24" s="260">
        <f>SUM(H25:H29)</f>
        <v>214</v>
      </c>
      <c r="I24" s="262">
        <f>H24-B24</f>
        <v>-66</v>
      </c>
      <c r="J24" s="258">
        <f>I24/B24*100</f>
        <v>-23.5714285714286</v>
      </c>
    </row>
    <row r="25" s="241" customFormat="1" ht="18" customHeight="1" spans="1:10">
      <c r="A25" s="253" t="s">
        <v>1261</v>
      </c>
      <c r="B25" s="254"/>
      <c r="C25" s="259"/>
      <c r="D25" s="258"/>
      <c r="E25" s="260"/>
      <c r="F25" s="262"/>
      <c r="G25" s="258"/>
      <c r="H25" s="260">
        <v>0</v>
      </c>
      <c r="I25" s="262"/>
      <c r="J25" s="258"/>
    </row>
    <row r="26" s="241" customFormat="1" ht="18" customHeight="1" spans="1:10">
      <c r="A26" s="253" t="s">
        <v>1262</v>
      </c>
      <c r="B26" s="254"/>
      <c r="C26" s="259"/>
      <c r="D26" s="258"/>
      <c r="E26" s="260"/>
      <c r="F26" s="262"/>
      <c r="G26" s="258"/>
      <c r="H26" s="260">
        <v>0</v>
      </c>
      <c r="I26" s="262"/>
      <c r="J26" s="258"/>
    </row>
    <row r="27" s="241" customFormat="1" ht="18" customHeight="1" spans="1:10">
      <c r="A27" s="253" t="s">
        <v>1263</v>
      </c>
      <c r="B27" s="254"/>
      <c r="C27" s="259"/>
      <c r="D27" s="258"/>
      <c r="E27" s="260"/>
      <c r="F27" s="262"/>
      <c r="G27" s="258"/>
      <c r="H27" s="260">
        <v>0</v>
      </c>
      <c r="I27" s="262"/>
      <c r="J27" s="258"/>
    </row>
    <row r="28" s="241" customFormat="1" ht="18" customHeight="1" spans="1:10">
      <c r="A28" s="253" t="s">
        <v>1264</v>
      </c>
      <c r="B28" s="254"/>
      <c r="C28" s="259"/>
      <c r="D28" s="258"/>
      <c r="E28" s="260"/>
      <c r="F28" s="262"/>
      <c r="G28" s="258"/>
      <c r="H28" s="260">
        <v>0</v>
      </c>
      <c r="I28" s="262"/>
      <c r="J28" s="258"/>
    </row>
    <row r="29" s="241" customFormat="1" ht="18" customHeight="1" spans="1:10">
      <c r="A29" s="253" t="s">
        <v>1265</v>
      </c>
      <c r="B29" s="254"/>
      <c r="C29" s="259"/>
      <c r="D29" s="258"/>
      <c r="E29" s="260"/>
      <c r="F29" s="262"/>
      <c r="G29" s="258"/>
      <c r="H29" s="260">
        <v>214</v>
      </c>
      <c r="I29" s="262"/>
      <c r="J29" s="258"/>
    </row>
    <row r="30" s="241" customFormat="1" ht="18" customHeight="1" spans="1:10">
      <c r="A30" s="253" t="s">
        <v>1266</v>
      </c>
      <c r="B30" s="254"/>
      <c r="C30" s="259"/>
      <c r="D30" s="258"/>
      <c r="E30" s="260"/>
      <c r="F30" s="262"/>
      <c r="G30" s="258"/>
      <c r="H30" s="260"/>
      <c r="I30" s="262"/>
      <c r="J30" s="258"/>
    </row>
    <row r="31" s="241" customFormat="1" ht="18" customHeight="1" spans="1:10">
      <c r="A31" s="253" t="s">
        <v>1267</v>
      </c>
      <c r="B31" s="254"/>
      <c r="C31" s="259"/>
      <c r="D31" s="258"/>
      <c r="E31" s="260"/>
      <c r="F31" s="262"/>
      <c r="G31" s="258"/>
      <c r="H31" s="260"/>
      <c r="I31" s="262"/>
      <c r="J31" s="258"/>
    </row>
    <row r="32" s="241" customFormat="1" ht="18" customHeight="1" spans="1:10">
      <c r="A32" s="253" t="s">
        <v>1268</v>
      </c>
      <c r="B32" s="254"/>
      <c r="C32" s="259"/>
      <c r="D32" s="258"/>
      <c r="E32" s="260"/>
      <c r="F32" s="262"/>
      <c r="G32" s="258"/>
      <c r="H32" s="260"/>
      <c r="I32" s="262"/>
      <c r="J32" s="258"/>
    </row>
    <row r="33" s="241" customFormat="1" ht="18" customHeight="1" spans="1:10">
      <c r="A33" s="253" t="s">
        <v>1245</v>
      </c>
      <c r="B33" s="254"/>
      <c r="C33" s="259"/>
      <c r="D33" s="258"/>
      <c r="E33" s="260"/>
      <c r="F33" s="262">
        <f>C33-E33</f>
        <v>0</v>
      </c>
      <c r="G33" s="258"/>
      <c r="H33" s="260">
        <f>SUM(H34:H39)</f>
        <v>0</v>
      </c>
      <c r="I33" s="262">
        <f>H33-B33</f>
        <v>0</v>
      </c>
      <c r="J33" s="258"/>
    </row>
    <row r="34" s="241" customFormat="1" ht="18" customHeight="1" spans="1:10">
      <c r="A34" s="253" t="s">
        <v>1269</v>
      </c>
      <c r="B34" s="254"/>
      <c r="C34" s="259"/>
      <c r="D34" s="258"/>
      <c r="E34" s="260"/>
      <c r="F34" s="262"/>
      <c r="G34" s="258"/>
      <c r="H34" s="260"/>
      <c r="I34" s="262"/>
      <c r="J34" s="258"/>
    </row>
    <row r="35" s="241" customFormat="1" ht="18" customHeight="1" spans="1:10">
      <c r="A35" s="253" t="s">
        <v>1270</v>
      </c>
      <c r="B35" s="254"/>
      <c r="C35" s="259"/>
      <c r="D35" s="258"/>
      <c r="E35" s="260"/>
      <c r="F35" s="262"/>
      <c r="G35" s="258"/>
      <c r="H35" s="260"/>
      <c r="I35" s="262"/>
      <c r="J35" s="258"/>
    </row>
    <row r="36" s="241" customFormat="1" ht="18" customHeight="1" spans="1:10">
      <c r="A36" s="253" t="s">
        <v>1271</v>
      </c>
      <c r="B36" s="254"/>
      <c r="C36" s="259"/>
      <c r="D36" s="258"/>
      <c r="E36" s="260"/>
      <c r="F36" s="262"/>
      <c r="G36" s="258"/>
      <c r="H36" s="260"/>
      <c r="I36" s="262"/>
      <c r="J36" s="258"/>
    </row>
    <row r="37" s="241" customFormat="1" ht="18" customHeight="1" spans="1:10">
      <c r="A37" s="253" t="s">
        <v>1272</v>
      </c>
      <c r="B37" s="254"/>
      <c r="C37" s="259"/>
      <c r="D37" s="258"/>
      <c r="E37" s="260"/>
      <c r="F37" s="262"/>
      <c r="G37" s="258"/>
      <c r="H37" s="260"/>
      <c r="I37" s="262"/>
      <c r="J37" s="258"/>
    </row>
    <row r="38" s="241" customFormat="1" ht="18" customHeight="1" spans="1:10">
      <c r="A38" s="253" t="s">
        <v>1273</v>
      </c>
      <c r="B38" s="254"/>
      <c r="C38" s="259"/>
      <c r="D38" s="258"/>
      <c r="E38" s="260"/>
      <c r="F38" s="262"/>
      <c r="G38" s="258"/>
      <c r="H38" s="260"/>
      <c r="I38" s="262"/>
      <c r="J38" s="258"/>
    </row>
    <row r="39" s="241" customFormat="1" ht="18" customHeight="1" spans="1:10">
      <c r="A39" s="253" t="s">
        <v>1274</v>
      </c>
      <c r="B39" s="254"/>
      <c r="C39" s="259"/>
      <c r="D39" s="258"/>
      <c r="E39" s="260"/>
      <c r="F39" s="262"/>
      <c r="G39" s="258"/>
      <c r="H39" s="260"/>
      <c r="I39" s="262"/>
      <c r="J39" s="258"/>
    </row>
    <row r="40" s="242" customFormat="1" ht="18" customHeight="1" spans="1:11">
      <c r="A40" s="251" t="s">
        <v>1275</v>
      </c>
      <c r="B40" s="252">
        <f>SUM(B41:B41)</f>
        <v>0</v>
      </c>
      <c r="C40" s="261">
        <f>SUM(C41:C41)</f>
        <v>0</v>
      </c>
      <c r="D40" s="258"/>
      <c r="E40" s="261"/>
      <c r="F40" s="262"/>
      <c r="G40" s="258"/>
      <c r="H40" s="262"/>
      <c r="I40" s="262"/>
      <c r="J40" s="258"/>
      <c r="K40" s="241"/>
    </row>
    <row r="41" s="241" customFormat="1" ht="18" customHeight="1" spans="1:10">
      <c r="A41" s="253" t="s">
        <v>1245</v>
      </c>
      <c r="B41" s="254"/>
      <c r="C41" s="259"/>
      <c r="D41" s="258"/>
      <c r="E41" s="260"/>
      <c r="F41" s="262"/>
      <c r="G41" s="258"/>
      <c r="H41" s="260"/>
      <c r="I41" s="262"/>
      <c r="J41" s="258"/>
    </row>
    <row r="42" s="241" customFormat="1" ht="18" customHeight="1" spans="1:10">
      <c r="A42" s="253" t="s">
        <v>1276</v>
      </c>
      <c r="B42" s="254"/>
      <c r="C42" s="259"/>
      <c r="D42" s="258"/>
      <c r="E42" s="260"/>
      <c r="F42" s="262"/>
      <c r="G42" s="258"/>
      <c r="H42" s="260"/>
      <c r="I42" s="262"/>
      <c r="J42" s="258"/>
    </row>
    <row r="43" s="241" customFormat="1" ht="18" customHeight="1" spans="1:10">
      <c r="A43" s="253" t="s">
        <v>1277</v>
      </c>
      <c r="B43" s="254"/>
      <c r="C43" s="259"/>
      <c r="D43" s="258"/>
      <c r="E43" s="260"/>
      <c r="F43" s="262"/>
      <c r="G43" s="258"/>
      <c r="H43" s="260"/>
      <c r="I43" s="262"/>
      <c r="J43" s="258"/>
    </row>
    <row r="44" s="241" customFormat="1" ht="18" customHeight="1" spans="1:10">
      <c r="A44" s="253" t="s">
        <v>1278</v>
      </c>
      <c r="B44" s="254"/>
      <c r="C44" s="259"/>
      <c r="D44" s="258"/>
      <c r="E44" s="260"/>
      <c r="F44" s="262"/>
      <c r="G44" s="258"/>
      <c r="H44" s="260"/>
      <c r="I44" s="262"/>
      <c r="J44" s="258"/>
    </row>
    <row r="45" s="241" customFormat="1" ht="18" customHeight="1" spans="1:10">
      <c r="A45" s="251" t="s">
        <v>1279</v>
      </c>
      <c r="B45" s="252">
        <f>B46</f>
        <v>3488</v>
      </c>
      <c r="C45" s="252">
        <f>C46</f>
        <v>3487.86</v>
      </c>
      <c r="D45" s="258"/>
      <c r="E45" s="260">
        <f>E46</f>
        <v>1512</v>
      </c>
      <c r="F45" s="262">
        <f>C45-E45</f>
        <v>1975.86</v>
      </c>
      <c r="G45" s="258"/>
      <c r="H45" s="260">
        <f>H46</f>
        <v>0</v>
      </c>
      <c r="I45" s="262">
        <f>H45-B45</f>
        <v>-3488</v>
      </c>
      <c r="J45" s="258">
        <f>I45/B45*100</f>
        <v>-100</v>
      </c>
    </row>
    <row r="46" s="241" customFormat="1" ht="18" customHeight="1" spans="1:10">
      <c r="A46" s="253" t="s">
        <v>1245</v>
      </c>
      <c r="B46" s="254">
        <v>3488</v>
      </c>
      <c r="C46" s="254">
        <v>3487.86</v>
      </c>
      <c r="D46" s="258"/>
      <c r="E46" s="260">
        <v>1512</v>
      </c>
      <c r="F46" s="262">
        <f>C46-E46</f>
        <v>1975.86</v>
      </c>
      <c r="G46" s="258"/>
      <c r="H46" s="260">
        <f>SUM(H47:H51)</f>
        <v>0</v>
      </c>
      <c r="I46" s="262">
        <f>H46-B46</f>
        <v>-3488</v>
      </c>
      <c r="J46" s="258">
        <f>I46/B46*100</f>
        <v>-100</v>
      </c>
    </row>
    <row r="47" s="241" customFormat="1" ht="18" customHeight="1" spans="1:10">
      <c r="A47" s="253" t="s">
        <v>1280</v>
      </c>
      <c r="B47" s="254"/>
      <c r="C47" s="259"/>
      <c r="D47" s="258"/>
      <c r="E47" s="260"/>
      <c r="F47" s="262"/>
      <c r="G47" s="258"/>
      <c r="H47" s="260"/>
      <c r="I47" s="262"/>
      <c r="J47" s="258"/>
    </row>
    <row r="48" s="241" customFormat="1" ht="18" customHeight="1" spans="1:10">
      <c r="A48" s="253" t="s">
        <v>1281</v>
      </c>
      <c r="B48" s="254"/>
      <c r="C48" s="259"/>
      <c r="D48" s="258"/>
      <c r="E48" s="260"/>
      <c r="F48" s="262"/>
      <c r="G48" s="258"/>
      <c r="H48" s="260"/>
      <c r="I48" s="262"/>
      <c r="J48" s="258"/>
    </row>
    <row r="49" s="241" customFormat="1" ht="18" customHeight="1" spans="1:10">
      <c r="A49" s="253" t="s">
        <v>1282</v>
      </c>
      <c r="B49" s="254"/>
      <c r="C49" s="259"/>
      <c r="D49" s="258"/>
      <c r="E49" s="260"/>
      <c r="F49" s="262"/>
      <c r="G49" s="258"/>
      <c r="H49" s="260"/>
      <c r="I49" s="262"/>
      <c r="J49" s="258"/>
    </row>
    <row r="50" s="241" customFormat="1" ht="18" customHeight="1" spans="1:10">
      <c r="A50" s="253" t="s">
        <v>1283</v>
      </c>
      <c r="B50" s="254"/>
      <c r="C50" s="259"/>
      <c r="D50" s="258"/>
      <c r="E50" s="260"/>
      <c r="F50" s="262"/>
      <c r="G50" s="258"/>
      <c r="H50" s="260"/>
      <c r="I50" s="262"/>
      <c r="J50" s="258"/>
    </row>
    <row r="51" s="241" customFormat="1" ht="18" customHeight="1" spans="1:10">
      <c r="A51" s="253" t="s">
        <v>1284</v>
      </c>
      <c r="B51" s="254"/>
      <c r="C51" s="259"/>
      <c r="D51" s="258"/>
      <c r="E51" s="260"/>
      <c r="F51" s="262"/>
      <c r="G51" s="258"/>
      <c r="H51" s="260"/>
      <c r="I51" s="262"/>
      <c r="J51" s="258"/>
    </row>
    <row r="52" s="242" customFormat="1" ht="18" customHeight="1" spans="1:11">
      <c r="A52" s="251" t="s">
        <v>1285</v>
      </c>
      <c r="B52" s="262">
        <f>B53+B58</f>
        <v>0</v>
      </c>
      <c r="C52" s="263">
        <f>C53+C58</f>
        <v>0</v>
      </c>
      <c r="D52" s="258"/>
      <c r="E52" s="262">
        <f>E53+E58</f>
        <v>0</v>
      </c>
      <c r="F52" s="262">
        <f>C52-E52</f>
        <v>0</v>
      </c>
      <c r="G52" s="258"/>
      <c r="H52" s="262">
        <f>H53+H58</f>
        <v>0</v>
      </c>
      <c r="I52" s="262">
        <f>H52-B52</f>
        <v>0</v>
      </c>
      <c r="J52" s="258"/>
      <c r="K52" s="241"/>
    </row>
    <row r="53" s="242" customFormat="1" ht="18" customHeight="1" spans="1:11">
      <c r="A53" s="253" t="s">
        <v>1286</v>
      </c>
      <c r="B53" s="262"/>
      <c r="C53" s="263"/>
      <c r="D53" s="258"/>
      <c r="E53" s="262"/>
      <c r="F53" s="262">
        <f>C53-E53</f>
        <v>0</v>
      </c>
      <c r="G53" s="258"/>
      <c r="H53" s="262">
        <f>SUM(H54:H57)</f>
        <v>0</v>
      </c>
      <c r="I53" s="262">
        <f>H53-B53</f>
        <v>0</v>
      </c>
      <c r="J53" s="258"/>
      <c r="K53" s="241"/>
    </row>
    <row r="54" s="242" customFormat="1" ht="18" customHeight="1" spans="1:11">
      <c r="A54" s="264" t="s">
        <v>1287</v>
      </c>
      <c r="B54" s="265"/>
      <c r="C54" s="263"/>
      <c r="D54" s="258"/>
      <c r="E54" s="262"/>
      <c r="F54" s="262"/>
      <c r="G54" s="258"/>
      <c r="H54" s="262"/>
      <c r="I54" s="262"/>
      <c r="J54" s="258"/>
      <c r="K54" s="241"/>
    </row>
    <row r="55" s="242" customFormat="1" ht="18" customHeight="1" spans="1:11">
      <c r="A55" s="264" t="s">
        <v>1288</v>
      </c>
      <c r="B55" s="265"/>
      <c r="C55" s="263"/>
      <c r="D55" s="258"/>
      <c r="E55" s="262"/>
      <c r="F55" s="262"/>
      <c r="G55" s="258"/>
      <c r="H55" s="262"/>
      <c r="I55" s="262"/>
      <c r="J55" s="258"/>
      <c r="K55" s="241"/>
    </row>
    <row r="56" s="242" customFormat="1" ht="18" customHeight="1" spans="1:11">
      <c r="A56" s="264" t="s">
        <v>1289</v>
      </c>
      <c r="B56" s="265"/>
      <c r="C56" s="263"/>
      <c r="D56" s="258"/>
      <c r="E56" s="262"/>
      <c r="F56" s="262"/>
      <c r="G56" s="258"/>
      <c r="H56" s="262"/>
      <c r="I56" s="262"/>
      <c r="J56" s="258"/>
      <c r="K56" s="241"/>
    </row>
    <row r="57" s="242" customFormat="1" ht="18" customHeight="1" spans="1:11">
      <c r="A57" s="264" t="s">
        <v>1290</v>
      </c>
      <c r="B57" s="265"/>
      <c r="C57" s="263"/>
      <c r="D57" s="258"/>
      <c r="E57" s="262"/>
      <c r="F57" s="262"/>
      <c r="G57" s="258"/>
      <c r="H57" s="262"/>
      <c r="I57" s="262"/>
      <c r="J57" s="258"/>
      <c r="K57" s="241"/>
    </row>
    <row r="58" s="241" customFormat="1" ht="18" customHeight="1" spans="1:10">
      <c r="A58" s="253" t="s">
        <v>1245</v>
      </c>
      <c r="B58" s="254"/>
      <c r="C58" s="259"/>
      <c r="D58" s="258"/>
      <c r="E58" s="260"/>
      <c r="F58" s="262">
        <f>C58-E58</f>
        <v>0</v>
      </c>
      <c r="G58" s="258"/>
      <c r="H58" s="260">
        <f>SUM(H59:H62)</f>
        <v>0</v>
      </c>
      <c r="I58" s="262">
        <f>H58-B58</f>
        <v>0</v>
      </c>
      <c r="J58" s="258"/>
    </row>
    <row r="59" s="241" customFormat="1" ht="18" customHeight="1" spans="1:10">
      <c r="A59" s="253" t="s">
        <v>1291</v>
      </c>
      <c r="B59" s="254"/>
      <c r="C59" s="259"/>
      <c r="D59" s="258"/>
      <c r="E59" s="260"/>
      <c r="F59" s="262"/>
      <c r="G59" s="258"/>
      <c r="H59" s="260"/>
      <c r="I59" s="262"/>
      <c r="J59" s="258"/>
    </row>
    <row r="60" s="241" customFormat="1" ht="18" customHeight="1" spans="1:10">
      <c r="A60" s="253" t="s">
        <v>1292</v>
      </c>
      <c r="B60" s="254"/>
      <c r="C60" s="259"/>
      <c r="D60" s="258"/>
      <c r="E60" s="260"/>
      <c r="F60" s="262"/>
      <c r="G60" s="258"/>
      <c r="H60" s="260"/>
      <c r="I60" s="262"/>
      <c r="J60" s="258"/>
    </row>
    <row r="61" s="241" customFormat="1" ht="18" customHeight="1" spans="1:10">
      <c r="A61" s="253" t="s">
        <v>1293</v>
      </c>
      <c r="B61" s="254"/>
      <c r="C61" s="259"/>
      <c r="D61" s="258"/>
      <c r="E61" s="260"/>
      <c r="F61" s="262"/>
      <c r="G61" s="258"/>
      <c r="H61" s="260"/>
      <c r="I61" s="262"/>
      <c r="J61" s="258"/>
    </row>
    <row r="62" s="241" customFormat="1" ht="18" customHeight="1" spans="1:10">
      <c r="A62" s="253" t="s">
        <v>1294</v>
      </c>
      <c r="B62" s="254"/>
      <c r="C62" s="259"/>
      <c r="D62" s="258"/>
      <c r="E62" s="260"/>
      <c r="F62" s="262"/>
      <c r="G62" s="258"/>
      <c r="H62" s="260"/>
      <c r="I62" s="262"/>
      <c r="J62" s="258"/>
    </row>
    <row r="63" s="242" customFormat="1" ht="18" customHeight="1" spans="1:11">
      <c r="A63" s="251" t="s">
        <v>1295</v>
      </c>
      <c r="B63" s="252">
        <f>B64+B80+B84+B85+B91+B95+B99+B103+B109+B112+B121</f>
        <v>270357</v>
      </c>
      <c r="C63" s="252">
        <f>C64+C80+C84+C85+C91+C95+C99+C103+C109+C112+C121</f>
        <v>187857.605601</v>
      </c>
      <c r="D63" s="258">
        <f>C63/B63*100</f>
        <v>69.4850163306295</v>
      </c>
      <c r="E63" s="252">
        <f>E64+E80+E84+E85+E91+E95+E99+E103+E109+E112+E121</f>
        <v>129528</v>
      </c>
      <c r="F63" s="262">
        <f t="shared" ref="F63:F80" si="1">C63-E63</f>
        <v>58329.605601</v>
      </c>
      <c r="G63" s="258">
        <f>F63/E63*100</f>
        <v>45.0324297456921</v>
      </c>
      <c r="H63" s="252">
        <f>H64+H80+H84+H85+H91+H95+H99+H103+H109+H112+H121</f>
        <v>123779.043932</v>
      </c>
      <c r="I63" s="262">
        <f>H63-B63</f>
        <v>-146577.956068</v>
      </c>
      <c r="J63" s="258">
        <f>I63/B63*100</f>
        <v>-54.2164456877388</v>
      </c>
      <c r="K63" s="241"/>
    </row>
    <row r="64" s="241" customFormat="1" ht="18" customHeight="1" spans="1:10">
      <c r="A64" s="253" t="s">
        <v>1296</v>
      </c>
      <c r="B64" s="254">
        <v>225609</v>
      </c>
      <c r="C64" s="260">
        <v>3267</v>
      </c>
      <c r="D64" s="258">
        <f>C64/B64*100</f>
        <v>1.44808052870231</v>
      </c>
      <c r="E64" s="260">
        <v>98429</v>
      </c>
      <c r="F64" s="262">
        <f t="shared" si="1"/>
        <v>-95162</v>
      </c>
      <c r="G64" s="258">
        <f>F64/E64*100</f>
        <v>-96.6808562517144</v>
      </c>
      <c r="H64" s="260">
        <f>SUM(H65:H79)</f>
        <v>64997.403125</v>
      </c>
      <c r="I64" s="262">
        <f>H64-B64</f>
        <v>-160611.596875</v>
      </c>
      <c r="J64" s="258">
        <f>I64/B64*100</f>
        <v>-71.1902436848707</v>
      </c>
    </row>
    <row r="65" s="241" customFormat="1" ht="18" customHeight="1" spans="1:10">
      <c r="A65" s="253" t="s">
        <v>1297</v>
      </c>
      <c r="B65" s="254"/>
      <c r="C65" s="259"/>
      <c r="D65" s="258"/>
      <c r="E65" s="260"/>
      <c r="F65" s="262">
        <f t="shared" si="1"/>
        <v>0</v>
      </c>
      <c r="G65" s="258"/>
      <c r="H65" s="260">
        <v>12000</v>
      </c>
      <c r="I65" s="262"/>
      <c r="J65" s="258"/>
    </row>
    <row r="66" s="241" customFormat="1" ht="18" customHeight="1" spans="1:10">
      <c r="A66" s="253" t="s">
        <v>1298</v>
      </c>
      <c r="B66" s="254"/>
      <c r="C66" s="259"/>
      <c r="D66" s="258"/>
      <c r="E66" s="260"/>
      <c r="F66" s="262">
        <f t="shared" si="1"/>
        <v>0</v>
      </c>
      <c r="G66" s="258"/>
      <c r="H66" s="260">
        <v>15605</v>
      </c>
      <c r="I66" s="262"/>
      <c r="J66" s="258"/>
    </row>
    <row r="67" s="241" customFormat="1" ht="18" customHeight="1" spans="1:10">
      <c r="A67" s="253" t="s">
        <v>1299</v>
      </c>
      <c r="B67" s="254"/>
      <c r="C67" s="259"/>
      <c r="D67" s="258"/>
      <c r="E67" s="260"/>
      <c r="F67" s="262">
        <f t="shared" si="1"/>
        <v>0</v>
      </c>
      <c r="G67" s="258"/>
      <c r="H67" s="260">
        <v>3700</v>
      </c>
      <c r="I67" s="262"/>
      <c r="J67" s="258"/>
    </row>
    <row r="68" s="241" customFormat="1" ht="18" customHeight="1" spans="1:10">
      <c r="A68" s="253" t="s">
        <v>1300</v>
      </c>
      <c r="B68" s="254"/>
      <c r="C68" s="259"/>
      <c r="D68" s="258"/>
      <c r="E68" s="260"/>
      <c r="F68" s="262">
        <f t="shared" si="1"/>
        <v>0</v>
      </c>
      <c r="G68" s="258"/>
      <c r="H68" s="260">
        <v>0</v>
      </c>
      <c r="I68" s="262"/>
      <c r="J68" s="258"/>
    </row>
    <row r="69" s="241" customFormat="1" ht="18" customHeight="1" spans="1:10">
      <c r="A69" s="253" t="s">
        <v>1301</v>
      </c>
      <c r="B69" s="254"/>
      <c r="C69" s="259"/>
      <c r="D69" s="258"/>
      <c r="E69" s="260"/>
      <c r="F69" s="262">
        <f t="shared" si="1"/>
        <v>0</v>
      </c>
      <c r="G69" s="258"/>
      <c r="H69" s="260">
        <v>0</v>
      </c>
      <c r="I69" s="262"/>
      <c r="J69" s="258"/>
    </row>
    <row r="70" s="241" customFormat="1" ht="18" customHeight="1" spans="1:10">
      <c r="A70" s="253" t="s">
        <v>1302</v>
      </c>
      <c r="B70" s="254"/>
      <c r="C70" s="259"/>
      <c r="D70" s="258"/>
      <c r="E70" s="260"/>
      <c r="F70" s="262">
        <f t="shared" si="1"/>
        <v>0</v>
      </c>
      <c r="G70" s="258"/>
      <c r="H70" s="260">
        <v>0</v>
      </c>
      <c r="I70" s="262"/>
      <c r="J70" s="258"/>
    </row>
    <row r="71" s="241" customFormat="1" ht="18" customHeight="1" spans="1:10">
      <c r="A71" s="253" t="s">
        <v>1303</v>
      </c>
      <c r="B71" s="254"/>
      <c r="C71" s="259"/>
      <c r="D71" s="258"/>
      <c r="E71" s="260"/>
      <c r="F71" s="262">
        <f t="shared" si="1"/>
        <v>0</v>
      </c>
      <c r="G71" s="258"/>
      <c r="H71" s="260">
        <v>0</v>
      </c>
      <c r="I71" s="262"/>
      <c r="J71" s="258"/>
    </row>
    <row r="72" s="241" customFormat="1" ht="18" customHeight="1" spans="1:10">
      <c r="A72" s="253" t="s">
        <v>1304</v>
      </c>
      <c r="B72" s="254"/>
      <c r="C72" s="259"/>
      <c r="D72" s="258"/>
      <c r="E72" s="260"/>
      <c r="F72" s="262">
        <f t="shared" si="1"/>
        <v>0</v>
      </c>
      <c r="G72" s="258"/>
      <c r="H72" s="260">
        <v>0</v>
      </c>
      <c r="I72" s="262"/>
      <c r="J72" s="258"/>
    </row>
    <row r="73" s="241" customFormat="1" ht="18" customHeight="1" spans="1:10">
      <c r="A73" s="253" t="s">
        <v>1305</v>
      </c>
      <c r="B73" s="254"/>
      <c r="C73" s="259"/>
      <c r="D73" s="258"/>
      <c r="E73" s="260"/>
      <c r="F73" s="262">
        <f t="shared" si="1"/>
        <v>0</v>
      </c>
      <c r="G73" s="258"/>
      <c r="H73" s="260">
        <v>0</v>
      </c>
      <c r="I73" s="262"/>
      <c r="J73" s="258"/>
    </row>
    <row r="74" s="241" customFormat="1" ht="18" customHeight="1" spans="1:10">
      <c r="A74" s="253" t="s">
        <v>1306</v>
      </c>
      <c r="B74" s="254"/>
      <c r="C74" s="259"/>
      <c r="D74" s="258"/>
      <c r="E74" s="260"/>
      <c r="F74" s="262">
        <f t="shared" si="1"/>
        <v>0</v>
      </c>
      <c r="G74" s="258"/>
      <c r="H74" s="260">
        <v>0</v>
      </c>
      <c r="I74" s="262"/>
      <c r="J74" s="258"/>
    </row>
    <row r="75" s="241" customFormat="1" ht="18" customHeight="1" spans="1:10">
      <c r="A75" s="253" t="s">
        <v>1307</v>
      </c>
      <c r="B75" s="254"/>
      <c r="C75" s="259"/>
      <c r="D75" s="258"/>
      <c r="E75" s="260"/>
      <c r="F75" s="262">
        <f t="shared" si="1"/>
        <v>0</v>
      </c>
      <c r="G75" s="258"/>
      <c r="H75" s="260">
        <v>0</v>
      </c>
      <c r="I75" s="262"/>
      <c r="J75" s="258"/>
    </row>
    <row r="76" s="241" customFormat="1" ht="18" customHeight="1" spans="1:10">
      <c r="A76" s="253" t="s">
        <v>1308</v>
      </c>
      <c r="B76" s="254"/>
      <c r="C76" s="259"/>
      <c r="D76" s="258"/>
      <c r="E76" s="260"/>
      <c r="F76" s="262">
        <f t="shared" si="1"/>
        <v>0</v>
      </c>
      <c r="G76" s="258"/>
      <c r="H76" s="260">
        <v>0</v>
      </c>
      <c r="I76" s="262"/>
      <c r="J76" s="258"/>
    </row>
    <row r="77" s="241" customFormat="1" ht="18" customHeight="1" spans="1:10">
      <c r="A77" s="253" t="s">
        <v>1309</v>
      </c>
      <c r="B77" s="254"/>
      <c r="C77" s="259"/>
      <c r="D77" s="258"/>
      <c r="E77" s="260"/>
      <c r="F77" s="262">
        <f t="shared" si="1"/>
        <v>0</v>
      </c>
      <c r="G77" s="258"/>
      <c r="H77" s="260">
        <v>0</v>
      </c>
      <c r="I77" s="262"/>
      <c r="J77" s="258"/>
    </row>
    <row r="78" s="241" customFormat="1" ht="18" customHeight="1" spans="1:10">
      <c r="A78" s="253" t="s">
        <v>1310</v>
      </c>
      <c r="B78" s="254"/>
      <c r="C78" s="259"/>
      <c r="D78" s="258"/>
      <c r="E78" s="260"/>
      <c r="F78" s="262">
        <f t="shared" si="1"/>
        <v>0</v>
      </c>
      <c r="G78" s="258"/>
      <c r="H78" s="260">
        <v>0</v>
      </c>
      <c r="I78" s="262"/>
      <c r="J78" s="258"/>
    </row>
    <row r="79" s="241" customFormat="1" ht="18" customHeight="1" spans="1:10">
      <c r="A79" s="253" t="s">
        <v>1311</v>
      </c>
      <c r="B79" s="254"/>
      <c r="C79" s="259"/>
      <c r="D79" s="258"/>
      <c r="E79" s="260"/>
      <c r="F79" s="262">
        <f t="shared" si="1"/>
        <v>0</v>
      </c>
      <c r="G79" s="258"/>
      <c r="H79" s="260">
        <v>33692.403125</v>
      </c>
      <c r="I79" s="262"/>
      <c r="J79" s="258"/>
    </row>
    <row r="80" s="241" customFormat="1" ht="18" customHeight="1" spans="1:10">
      <c r="A80" s="253" t="s">
        <v>1312</v>
      </c>
      <c r="B80" s="254"/>
      <c r="C80" s="259"/>
      <c r="D80" s="258"/>
      <c r="E80" s="260">
        <f>SUM(E81:E83)</f>
        <v>0</v>
      </c>
      <c r="F80" s="262">
        <f t="shared" si="1"/>
        <v>0</v>
      </c>
      <c r="G80" s="258"/>
      <c r="H80" s="260">
        <f>SUM(H81:H83)</f>
        <v>0</v>
      </c>
      <c r="I80" s="262">
        <f t="shared" ref="I80:I85" si="2">H80-B80</f>
        <v>0</v>
      </c>
      <c r="J80" s="258"/>
    </row>
    <row r="81" s="241" customFormat="1" ht="18" customHeight="1" spans="1:10">
      <c r="A81" s="253" t="s">
        <v>1297</v>
      </c>
      <c r="B81" s="254"/>
      <c r="C81" s="259"/>
      <c r="D81" s="258"/>
      <c r="E81" s="260"/>
      <c r="F81" s="262"/>
      <c r="G81" s="258"/>
      <c r="H81" s="260"/>
      <c r="I81" s="262"/>
      <c r="J81" s="258"/>
    </row>
    <row r="82" s="241" customFormat="1" ht="18" customHeight="1" spans="1:10">
      <c r="A82" s="253" t="s">
        <v>1298</v>
      </c>
      <c r="B82" s="254"/>
      <c r="C82" s="259"/>
      <c r="D82" s="258"/>
      <c r="E82" s="260"/>
      <c r="F82" s="262"/>
      <c r="G82" s="258"/>
      <c r="H82" s="260"/>
      <c r="I82" s="262"/>
      <c r="J82" s="258"/>
    </row>
    <row r="83" s="241" customFormat="1" ht="18" customHeight="1" spans="1:10">
      <c r="A83" s="253" t="s">
        <v>1313</v>
      </c>
      <c r="B83" s="254"/>
      <c r="C83" s="259"/>
      <c r="D83" s="258"/>
      <c r="E83" s="260"/>
      <c r="F83" s="262"/>
      <c r="G83" s="258"/>
      <c r="H83" s="260"/>
      <c r="I83" s="262"/>
      <c r="J83" s="258"/>
    </row>
    <row r="84" s="241" customFormat="1" ht="18" customHeight="1" spans="1:10">
      <c r="A84" s="253" t="s">
        <v>1314</v>
      </c>
      <c r="B84" s="254"/>
      <c r="C84" s="259"/>
      <c r="D84" s="258"/>
      <c r="E84" s="260"/>
      <c r="F84" s="262">
        <f>C84-E84</f>
        <v>0</v>
      </c>
      <c r="G84" s="258"/>
      <c r="H84" s="260"/>
      <c r="I84" s="262">
        <f t="shared" si="2"/>
        <v>0</v>
      </c>
      <c r="J84" s="258"/>
    </row>
    <row r="85" s="241" customFormat="1" ht="18" customHeight="1" spans="1:10">
      <c r="A85" s="253" t="s">
        <v>1315</v>
      </c>
      <c r="B85" s="254">
        <v>3000</v>
      </c>
      <c r="C85" s="260">
        <v>1479</v>
      </c>
      <c r="D85" s="258">
        <f>C85/B85*100</f>
        <v>49.3</v>
      </c>
      <c r="E85" s="260">
        <v>2002</v>
      </c>
      <c r="F85" s="262">
        <f>C85-E85</f>
        <v>-523</v>
      </c>
      <c r="G85" s="258">
        <f>F85/E85*100</f>
        <v>-26.1238761238761</v>
      </c>
      <c r="H85" s="260">
        <f>SUM(H86:H90)</f>
        <v>2812.364473</v>
      </c>
      <c r="I85" s="262">
        <f t="shared" si="2"/>
        <v>-187.635527</v>
      </c>
      <c r="J85" s="258">
        <f>I85/B85*100</f>
        <v>-6.25451756666666</v>
      </c>
    </row>
    <row r="86" s="241" customFormat="1" ht="18" customHeight="1" spans="1:10">
      <c r="A86" s="253" t="s">
        <v>1316</v>
      </c>
      <c r="B86" s="254"/>
      <c r="C86" s="259"/>
      <c r="D86" s="258"/>
      <c r="E86" s="260"/>
      <c r="F86" s="262"/>
      <c r="G86" s="258"/>
      <c r="H86" s="260">
        <v>0</v>
      </c>
      <c r="I86" s="262"/>
      <c r="J86" s="258"/>
    </row>
    <row r="87" s="241" customFormat="1" ht="18" customHeight="1" spans="1:10">
      <c r="A87" s="253" t="s">
        <v>1317</v>
      </c>
      <c r="B87" s="254"/>
      <c r="C87" s="259"/>
      <c r="D87" s="258"/>
      <c r="E87" s="260"/>
      <c r="F87" s="262"/>
      <c r="G87" s="258"/>
      <c r="H87" s="260">
        <v>1500</v>
      </c>
      <c r="I87" s="262"/>
      <c r="J87" s="258"/>
    </row>
    <row r="88" s="241" customFormat="1" ht="18" customHeight="1" spans="1:10">
      <c r="A88" s="253" t="s">
        <v>1318</v>
      </c>
      <c r="B88" s="254"/>
      <c r="C88" s="259"/>
      <c r="D88" s="258"/>
      <c r="E88" s="260"/>
      <c r="F88" s="262"/>
      <c r="G88" s="258"/>
      <c r="H88" s="260">
        <v>0</v>
      </c>
      <c r="I88" s="262"/>
      <c r="J88" s="258"/>
    </row>
    <row r="89" s="241" customFormat="1" ht="18" customHeight="1" spans="1:10">
      <c r="A89" s="253" t="s">
        <v>1319</v>
      </c>
      <c r="B89" s="254"/>
      <c r="C89" s="259"/>
      <c r="D89" s="258"/>
      <c r="E89" s="260"/>
      <c r="F89" s="262"/>
      <c r="G89" s="258"/>
      <c r="H89" s="260">
        <v>0</v>
      </c>
      <c r="I89" s="262"/>
      <c r="J89" s="258"/>
    </row>
    <row r="90" s="241" customFormat="1" ht="18" customHeight="1" spans="1:10">
      <c r="A90" s="253" t="s">
        <v>1320</v>
      </c>
      <c r="B90" s="254"/>
      <c r="C90" s="259"/>
      <c r="D90" s="258"/>
      <c r="E90" s="260"/>
      <c r="F90" s="262"/>
      <c r="G90" s="258"/>
      <c r="H90" s="260">
        <v>1312.364473</v>
      </c>
      <c r="I90" s="262"/>
      <c r="J90" s="258"/>
    </row>
    <row r="91" s="241" customFormat="1" ht="18" customHeight="1" spans="1:10">
      <c r="A91" s="253" t="s">
        <v>1321</v>
      </c>
      <c r="B91" s="254"/>
      <c r="C91" s="259"/>
      <c r="D91" s="258"/>
      <c r="E91" s="260"/>
      <c r="F91" s="262"/>
      <c r="G91" s="258"/>
      <c r="H91" s="260"/>
      <c r="I91" s="262"/>
      <c r="J91" s="258"/>
    </row>
    <row r="92" s="241" customFormat="1" ht="18" customHeight="1" spans="1:10">
      <c r="A92" s="253" t="s">
        <v>1322</v>
      </c>
      <c r="B92" s="254"/>
      <c r="C92" s="259"/>
      <c r="D92" s="258"/>
      <c r="E92" s="260"/>
      <c r="F92" s="262"/>
      <c r="G92" s="258"/>
      <c r="H92" s="260"/>
      <c r="I92" s="262"/>
      <c r="J92" s="258"/>
    </row>
    <row r="93" s="241" customFormat="1" ht="18" customHeight="1" spans="1:10">
      <c r="A93" s="253" t="s">
        <v>1323</v>
      </c>
      <c r="B93" s="254"/>
      <c r="C93" s="259"/>
      <c r="D93" s="258"/>
      <c r="E93" s="260"/>
      <c r="F93" s="262"/>
      <c r="G93" s="258"/>
      <c r="H93" s="260"/>
      <c r="I93" s="262"/>
      <c r="J93" s="258"/>
    </row>
    <row r="94" s="241" customFormat="1" ht="18" customHeight="1" spans="1:10">
      <c r="A94" s="253" t="s">
        <v>1324</v>
      </c>
      <c r="B94" s="254"/>
      <c r="C94" s="259"/>
      <c r="D94" s="258"/>
      <c r="E94" s="260"/>
      <c r="F94" s="262"/>
      <c r="G94" s="258"/>
      <c r="H94" s="260"/>
      <c r="I94" s="262"/>
      <c r="J94" s="258"/>
    </row>
    <row r="95" s="241" customFormat="1" ht="18" customHeight="1" spans="1:10">
      <c r="A95" s="253" t="s">
        <v>1325</v>
      </c>
      <c r="B95" s="254"/>
      <c r="C95" s="259"/>
      <c r="D95" s="258"/>
      <c r="E95" s="260">
        <f>SUM(E96:E98)</f>
        <v>0</v>
      </c>
      <c r="F95" s="262">
        <f>C95-E95</f>
        <v>0</v>
      </c>
      <c r="G95" s="258"/>
      <c r="H95" s="260">
        <f>SUM(H96:H98)</f>
        <v>0</v>
      </c>
      <c r="I95" s="262">
        <f>H95-B95</f>
        <v>0</v>
      </c>
      <c r="J95" s="258"/>
    </row>
    <row r="96" s="241" customFormat="1" ht="18" customHeight="1" spans="1:10">
      <c r="A96" s="253" t="s">
        <v>1297</v>
      </c>
      <c r="B96" s="254"/>
      <c r="C96" s="259"/>
      <c r="D96" s="258"/>
      <c r="E96" s="260"/>
      <c r="F96" s="262"/>
      <c r="G96" s="258"/>
      <c r="H96" s="260"/>
      <c r="I96" s="262"/>
      <c r="J96" s="258"/>
    </row>
    <row r="97" s="241" customFormat="1" ht="18" customHeight="1" spans="1:10">
      <c r="A97" s="253" t="s">
        <v>1298</v>
      </c>
      <c r="B97" s="254"/>
      <c r="C97" s="259"/>
      <c r="D97" s="258"/>
      <c r="E97" s="260"/>
      <c r="F97" s="262"/>
      <c r="G97" s="258"/>
      <c r="H97" s="260"/>
      <c r="I97" s="262"/>
      <c r="J97" s="258"/>
    </row>
    <row r="98" s="241" customFormat="1" ht="18" customHeight="1" spans="1:10">
      <c r="A98" s="253" t="s">
        <v>1326</v>
      </c>
      <c r="B98" s="254"/>
      <c r="C98" s="259"/>
      <c r="D98" s="258"/>
      <c r="E98" s="260"/>
      <c r="F98" s="262"/>
      <c r="G98" s="258"/>
      <c r="H98" s="260"/>
      <c r="I98" s="262"/>
      <c r="J98" s="258"/>
    </row>
    <row r="99" s="241" customFormat="1" ht="18" customHeight="1" spans="1:10">
      <c r="A99" s="253" t="s">
        <v>1327</v>
      </c>
      <c r="B99" s="254"/>
      <c r="C99" s="259"/>
      <c r="D99" s="258"/>
      <c r="E99" s="260">
        <f>SUM(E100:E102)</f>
        <v>0</v>
      </c>
      <c r="F99" s="262">
        <f>C99-E99</f>
        <v>0</v>
      </c>
      <c r="G99" s="258"/>
      <c r="H99" s="260">
        <f>SUM(H100:H102)</f>
        <v>0</v>
      </c>
      <c r="I99" s="262">
        <f>H99-B99</f>
        <v>0</v>
      </c>
      <c r="J99" s="258"/>
    </row>
    <row r="100" s="241" customFormat="1" ht="18" customHeight="1" spans="1:10">
      <c r="A100" s="253" t="s">
        <v>1297</v>
      </c>
      <c r="B100" s="254"/>
      <c r="C100" s="259"/>
      <c r="D100" s="258"/>
      <c r="E100" s="260"/>
      <c r="F100" s="262"/>
      <c r="G100" s="258"/>
      <c r="H100" s="260"/>
      <c r="I100" s="262"/>
      <c r="J100" s="258"/>
    </row>
    <row r="101" s="241" customFormat="1" ht="18" customHeight="1" spans="1:10">
      <c r="A101" s="253" t="s">
        <v>1298</v>
      </c>
      <c r="B101" s="254"/>
      <c r="C101" s="259"/>
      <c r="D101" s="258"/>
      <c r="E101" s="260"/>
      <c r="F101" s="262"/>
      <c r="G101" s="258"/>
      <c r="H101" s="260"/>
      <c r="I101" s="262"/>
      <c r="J101" s="258"/>
    </row>
    <row r="102" s="241" customFormat="1" ht="18" customHeight="1" spans="1:10">
      <c r="A102" s="253" t="s">
        <v>1328</v>
      </c>
      <c r="B102" s="254"/>
      <c r="C102" s="259"/>
      <c r="D102" s="258"/>
      <c r="E102" s="260"/>
      <c r="F102" s="262"/>
      <c r="G102" s="258"/>
      <c r="H102" s="260"/>
      <c r="I102" s="262"/>
      <c r="J102" s="258"/>
    </row>
    <row r="103" s="241" customFormat="1" ht="20" customHeight="1" spans="1:10">
      <c r="A103" s="253" t="s">
        <v>1329</v>
      </c>
      <c r="B103" s="254"/>
      <c r="C103" s="259"/>
      <c r="D103" s="258"/>
      <c r="E103" s="260">
        <f>SUM(E104:E108)</f>
        <v>0</v>
      </c>
      <c r="F103" s="262">
        <f>C103-E103</f>
        <v>0</v>
      </c>
      <c r="G103" s="258"/>
      <c r="H103" s="260"/>
      <c r="I103" s="262">
        <f>H103-B103</f>
        <v>0</v>
      </c>
      <c r="J103" s="258"/>
    </row>
    <row r="104" s="241" customFormat="1" ht="18" customHeight="1" spans="1:10">
      <c r="A104" s="253" t="s">
        <v>1316</v>
      </c>
      <c r="B104" s="254"/>
      <c r="C104" s="259"/>
      <c r="D104" s="258"/>
      <c r="E104" s="260"/>
      <c r="F104" s="262"/>
      <c r="G104" s="258"/>
      <c r="H104" s="260"/>
      <c r="I104" s="262"/>
      <c r="J104" s="258"/>
    </row>
    <row r="105" s="241" customFormat="1" ht="18" customHeight="1" spans="1:10">
      <c r="A105" s="253" t="s">
        <v>1317</v>
      </c>
      <c r="B105" s="254"/>
      <c r="C105" s="259"/>
      <c r="D105" s="258"/>
      <c r="E105" s="260"/>
      <c r="F105" s="262"/>
      <c r="G105" s="258"/>
      <c r="H105" s="260"/>
      <c r="I105" s="262"/>
      <c r="J105" s="258"/>
    </row>
    <row r="106" s="241" customFormat="1" ht="18" customHeight="1" spans="1:10">
      <c r="A106" s="253" t="s">
        <v>1318</v>
      </c>
      <c r="B106" s="254"/>
      <c r="C106" s="259"/>
      <c r="D106" s="258"/>
      <c r="E106" s="260"/>
      <c r="F106" s="262"/>
      <c r="G106" s="258"/>
      <c r="H106" s="260"/>
      <c r="I106" s="262"/>
      <c r="J106" s="258"/>
    </row>
    <row r="107" s="241" customFormat="1" ht="18" customHeight="1" spans="1:10">
      <c r="A107" s="253" t="s">
        <v>1319</v>
      </c>
      <c r="B107" s="254"/>
      <c r="C107" s="259"/>
      <c r="D107" s="258"/>
      <c r="E107" s="260"/>
      <c r="F107" s="262"/>
      <c r="G107" s="258"/>
      <c r="H107" s="260"/>
      <c r="I107" s="262"/>
      <c r="J107" s="258"/>
    </row>
    <row r="108" s="241" customFormat="1" ht="18" customHeight="1" spans="1:10">
      <c r="A108" s="253" t="s">
        <v>1330</v>
      </c>
      <c r="B108" s="254"/>
      <c r="C108" s="259"/>
      <c r="D108" s="258"/>
      <c r="E108" s="260"/>
      <c r="F108" s="262"/>
      <c r="G108" s="258"/>
      <c r="H108" s="260"/>
      <c r="I108" s="262"/>
      <c r="J108" s="258"/>
    </row>
    <row r="109" s="241" customFormat="1" ht="18" customHeight="1" spans="1:10">
      <c r="A109" s="253" t="s">
        <v>1331</v>
      </c>
      <c r="B109" s="254"/>
      <c r="C109" s="259"/>
      <c r="D109" s="258"/>
      <c r="E109" s="260">
        <f>SUM(E110:E111)</f>
        <v>0</v>
      </c>
      <c r="F109" s="262">
        <f>C109-E109</f>
        <v>0</v>
      </c>
      <c r="G109" s="258"/>
      <c r="H109" s="260"/>
      <c r="I109" s="262">
        <f>H109-B109</f>
        <v>0</v>
      </c>
      <c r="J109" s="258"/>
    </row>
    <row r="110" s="241" customFormat="1" ht="18" customHeight="1" spans="1:10">
      <c r="A110" s="253" t="s">
        <v>1322</v>
      </c>
      <c r="B110" s="254"/>
      <c r="C110" s="259"/>
      <c r="D110" s="258"/>
      <c r="E110" s="260"/>
      <c r="F110" s="262"/>
      <c r="G110" s="258"/>
      <c r="H110" s="260"/>
      <c r="I110" s="262"/>
      <c r="J110" s="258"/>
    </row>
    <row r="111" s="241" customFormat="1" ht="18" customHeight="1" spans="1:10">
      <c r="A111" s="253" t="s">
        <v>1332</v>
      </c>
      <c r="B111" s="254"/>
      <c r="C111" s="259"/>
      <c r="D111" s="258"/>
      <c r="E111" s="260"/>
      <c r="F111" s="262"/>
      <c r="G111" s="258"/>
      <c r="H111" s="260"/>
      <c r="I111" s="262"/>
      <c r="J111" s="258"/>
    </row>
    <row r="112" s="241" customFormat="1" ht="18" customHeight="1" spans="1:10">
      <c r="A112" s="253" t="s">
        <v>1333</v>
      </c>
      <c r="B112" s="254">
        <v>5418</v>
      </c>
      <c r="C112" s="260">
        <v>151285</v>
      </c>
      <c r="D112" s="258">
        <f>C112/B112*100</f>
        <v>2792.2665190107</v>
      </c>
      <c r="E112" s="260">
        <v>28917</v>
      </c>
      <c r="F112" s="262">
        <f>C112-E112</f>
        <v>122368</v>
      </c>
      <c r="G112" s="258">
        <f>F112/E112*100</f>
        <v>423.169761731853</v>
      </c>
      <c r="H112" s="260">
        <f>SUM(H113:H120)</f>
        <v>24059.592235</v>
      </c>
      <c r="I112" s="262">
        <f>H112-B112</f>
        <v>18641.592235</v>
      </c>
      <c r="J112" s="258">
        <f>I112/B112*100</f>
        <v>344.067778423773</v>
      </c>
    </row>
    <row r="113" s="241" customFormat="1" ht="18" customHeight="1" spans="1:10">
      <c r="A113" s="253" t="s">
        <v>1297</v>
      </c>
      <c r="B113" s="254"/>
      <c r="C113" s="259"/>
      <c r="D113" s="258"/>
      <c r="E113" s="260"/>
      <c r="F113" s="262"/>
      <c r="G113" s="258"/>
      <c r="H113" s="260">
        <v>0</v>
      </c>
      <c r="I113" s="262"/>
      <c r="J113" s="258"/>
    </row>
    <row r="114" s="241" customFormat="1" ht="18" customHeight="1" spans="1:10">
      <c r="A114" s="253" t="s">
        <v>1298</v>
      </c>
      <c r="B114" s="254"/>
      <c r="C114" s="259"/>
      <c r="D114" s="258"/>
      <c r="E114" s="260"/>
      <c r="F114" s="262"/>
      <c r="G114" s="258"/>
      <c r="H114" s="260">
        <v>0</v>
      </c>
      <c r="I114" s="262"/>
      <c r="J114" s="258"/>
    </row>
    <row r="115" s="241" customFormat="1" ht="18" customHeight="1" spans="1:10">
      <c r="A115" s="253" t="s">
        <v>1299</v>
      </c>
      <c r="B115" s="254"/>
      <c r="C115" s="259"/>
      <c r="D115" s="258"/>
      <c r="E115" s="260"/>
      <c r="F115" s="262"/>
      <c r="G115" s="258"/>
      <c r="H115" s="260">
        <v>24028.015496</v>
      </c>
      <c r="I115" s="262"/>
      <c r="J115" s="258"/>
    </row>
    <row r="116" s="241" customFormat="1" ht="18" customHeight="1" spans="1:10">
      <c r="A116" s="253" t="s">
        <v>1300</v>
      </c>
      <c r="B116" s="254"/>
      <c r="C116" s="259"/>
      <c r="D116" s="258"/>
      <c r="E116" s="260"/>
      <c r="F116" s="262"/>
      <c r="G116" s="258"/>
      <c r="H116" s="260">
        <v>0</v>
      </c>
      <c r="I116" s="262"/>
      <c r="J116" s="258"/>
    </row>
    <row r="117" s="241" customFormat="1" ht="18" customHeight="1" spans="1:10">
      <c r="A117" s="253" t="s">
        <v>1303</v>
      </c>
      <c r="B117" s="254"/>
      <c r="C117" s="259"/>
      <c r="D117" s="258"/>
      <c r="E117" s="260"/>
      <c r="F117" s="262"/>
      <c r="G117" s="258"/>
      <c r="H117" s="260">
        <v>0</v>
      </c>
      <c r="I117" s="262"/>
      <c r="J117" s="258"/>
    </row>
    <row r="118" s="241" customFormat="1" ht="18" customHeight="1" spans="1:10">
      <c r="A118" s="253" t="s">
        <v>1305</v>
      </c>
      <c r="B118" s="254"/>
      <c r="C118" s="259"/>
      <c r="D118" s="258"/>
      <c r="E118" s="260"/>
      <c r="F118" s="262"/>
      <c r="G118" s="258"/>
      <c r="H118" s="260">
        <v>0</v>
      </c>
      <c r="I118" s="262"/>
      <c r="J118" s="258"/>
    </row>
    <row r="119" s="241" customFormat="1" ht="18" customHeight="1" spans="1:10">
      <c r="A119" s="253" t="s">
        <v>1306</v>
      </c>
      <c r="B119" s="254"/>
      <c r="C119" s="259"/>
      <c r="D119" s="258"/>
      <c r="E119" s="260"/>
      <c r="F119" s="262"/>
      <c r="G119" s="258"/>
      <c r="H119" s="260">
        <v>0</v>
      </c>
      <c r="I119" s="262"/>
      <c r="J119" s="258"/>
    </row>
    <row r="120" s="241" customFormat="1" ht="18" customHeight="1" spans="1:10">
      <c r="A120" s="253" t="s">
        <v>1334</v>
      </c>
      <c r="B120" s="254"/>
      <c r="C120" s="259"/>
      <c r="D120" s="258"/>
      <c r="E120" s="260"/>
      <c r="F120" s="262"/>
      <c r="G120" s="258"/>
      <c r="H120" s="260">
        <v>31.576739</v>
      </c>
      <c r="I120" s="262"/>
      <c r="J120" s="258"/>
    </row>
    <row r="121" s="241" customFormat="1" ht="18" customHeight="1" spans="1:10">
      <c r="A121" s="253" t="s">
        <v>1245</v>
      </c>
      <c r="B121" s="254">
        <v>36330</v>
      </c>
      <c r="C121" s="260">
        <f>33153.605601-1327</f>
        <v>31826.605601</v>
      </c>
      <c r="D121" s="258"/>
      <c r="E121" s="260">
        <v>180</v>
      </c>
      <c r="F121" s="262">
        <f t="shared" ref="F121:F125" si="3">C121-E121</f>
        <v>31646.605601</v>
      </c>
      <c r="G121" s="258"/>
      <c r="H121" s="260">
        <f>SUM(H122:H123)</f>
        <v>31909.684099</v>
      </c>
      <c r="I121" s="262">
        <f>H121-B121</f>
        <v>-4420.315901</v>
      </c>
      <c r="J121" s="258">
        <f>I121/B121*100</f>
        <v>-12.1671233168181</v>
      </c>
    </row>
    <row r="122" s="241" customFormat="1" ht="18" customHeight="1" spans="1:10">
      <c r="A122" s="253" t="s">
        <v>1335</v>
      </c>
      <c r="B122" s="254"/>
      <c r="C122" s="259"/>
      <c r="D122" s="258"/>
      <c r="E122" s="260"/>
      <c r="F122" s="262"/>
      <c r="G122" s="258"/>
      <c r="H122" s="260">
        <v>27423.684099</v>
      </c>
      <c r="I122" s="262"/>
      <c r="J122" s="258"/>
    </row>
    <row r="123" s="241" customFormat="1" ht="18" customHeight="1" spans="1:10">
      <c r="A123" s="253" t="s">
        <v>1336</v>
      </c>
      <c r="B123" s="254"/>
      <c r="C123" s="259"/>
      <c r="D123" s="258"/>
      <c r="E123" s="260"/>
      <c r="F123" s="262"/>
      <c r="G123" s="258"/>
      <c r="H123" s="260">
        <v>4486</v>
      </c>
      <c r="I123" s="262"/>
      <c r="J123" s="258"/>
    </row>
    <row r="124" s="242" customFormat="1" ht="18" customHeight="1" spans="1:11">
      <c r="A124" s="251" t="s">
        <v>1337</v>
      </c>
      <c r="B124" s="252">
        <f>B125+B130+B134+B135+B136+B140+B144+B145</f>
        <v>0</v>
      </c>
      <c r="C124" s="252">
        <f>C125+C130+C134+C135+C136+C140+C144+C145</f>
        <v>21322.576752</v>
      </c>
      <c r="D124" s="258"/>
      <c r="E124" s="252">
        <f>E125+E130+E134+E135+E136+E140+E144+E145</f>
        <v>0</v>
      </c>
      <c r="F124" s="262">
        <f t="shared" si="3"/>
        <v>21322.576752</v>
      </c>
      <c r="G124" s="258"/>
      <c r="H124" s="262">
        <f>H125+H130+H134+H135+H136+H140+H144+H145</f>
        <v>18716.529254</v>
      </c>
      <c r="I124" s="262"/>
      <c r="J124" s="258"/>
      <c r="K124" s="241"/>
    </row>
    <row r="125" s="241" customFormat="1" ht="18" customHeight="1" spans="1:10">
      <c r="A125" s="253" t="s">
        <v>1338</v>
      </c>
      <c r="B125" s="254"/>
      <c r="C125" s="259"/>
      <c r="D125" s="258"/>
      <c r="E125" s="260">
        <f>SUM(E126:E129)</f>
        <v>0</v>
      </c>
      <c r="F125" s="262">
        <f t="shared" si="3"/>
        <v>0</v>
      </c>
      <c r="G125" s="258"/>
      <c r="H125" s="260"/>
      <c r="I125" s="262"/>
      <c r="J125" s="258"/>
    </row>
    <row r="126" s="241" customFormat="1" ht="18" customHeight="1" spans="1:10">
      <c r="A126" s="253" t="s">
        <v>1339</v>
      </c>
      <c r="B126" s="254"/>
      <c r="C126" s="259"/>
      <c r="D126" s="258"/>
      <c r="E126" s="260"/>
      <c r="F126" s="262"/>
      <c r="G126" s="258"/>
      <c r="H126" s="260"/>
      <c r="I126" s="262"/>
      <c r="J126" s="258"/>
    </row>
    <row r="127" s="241" customFormat="1" ht="18" customHeight="1" spans="1:10">
      <c r="A127" s="253" t="s">
        <v>1340</v>
      </c>
      <c r="B127" s="254"/>
      <c r="C127" s="259"/>
      <c r="D127" s="258"/>
      <c r="E127" s="260"/>
      <c r="F127" s="262"/>
      <c r="G127" s="258"/>
      <c r="H127" s="260"/>
      <c r="I127" s="262"/>
      <c r="J127" s="258"/>
    </row>
    <row r="128" s="241" customFormat="1" ht="18" customHeight="1" spans="1:10">
      <c r="A128" s="253" t="s">
        <v>1341</v>
      </c>
      <c r="B128" s="254"/>
      <c r="C128" s="259"/>
      <c r="D128" s="258"/>
      <c r="E128" s="260"/>
      <c r="F128" s="262"/>
      <c r="G128" s="258"/>
      <c r="H128" s="260"/>
      <c r="I128" s="262"/>
      <c r="J128" s="258"/>
    </row>
    <row r="129" s="241" customFormat="1" ht="18" customHeight="1" spans="1:10">
      <c r="A129" s="253" t="s">
        <v>1342</v>
      </c>
      <c r="B129" s="254"/>
      <c r="C129" s="259"/>
      <c r="D129" s="258"/>
      <c r="E129" s="260"/>
      <c r="F129" s="262"/>
      <c r="G129" s="258"/>
      <c r="H129" s="260"/>
      <c r="I129" s="262"/>
      <c r="J129" s="258"/>
    </row>
    <row r="130" s="241" customFormat="1" ht="18" customHeight="1" spans="1:10">
      <c r="A130" s="253" t="s">
        <v>1343</v>
      </c>
      <c r="B130" s="254"/>
      <c r="C130" s="259"/>
      <c r="D130" s="258"/>
      <c r="E130" s="260"/>
      <c r="F130" s="262"/>
      <c r="G130" s="258"/>
      <c r="H130" s="260"/>
      <c r="I130" s="262"/>
      <c r="J130" s="258"/>
    </row>
    <row r="131" s="241" customFormat="1" ht="18" customHeight="1" spans="1:10">
      <c r="A131" s="253" t="s">
        <v>1344</v>
      </c>
      <c r="B131" s="254"/>
      <c r="C131" s="259"/>
      <c r="D131" s="258"/>
      <c r="E131" s="260"/>
      <c r="F131" s="262"/>
      <c r="G131" s="258"/>
      <c r="H131" s="260"/>
      <c r="I131" s="262"/>
      <c r="J131" s="258"/>
    </row>
    <row r="132" s="241" customFormat="1" ht="18" customHeight="1" spans="1:10">
      <c r="A132" s="253" t="s">
        <v>1345</v>
      </c>
      <c r="B132" s="254"/>
      <c r="C132" s="259"/>
      <c r="D132" s="258"/>
      <c r="E132" s="260"/>
      <c r="F132" s="262"/>
      <c r="G132" s="258"/>
      <c r="H132" s="260"/>
      <c r="I132" s="262"/>
      <c r="J132" s="258"/>
    </row>
    <row r="133" s="241" customFormat="1" ht="18" customHeight="1" spans="1:10">
      <c r="A133" s="253" t="s">
        <v>1346</v>
      </c>
      <c r="B133" s="254"/>
      <c r="C133" s="259"/>
      <c r="D133" s="258"/>
      <c r="E133" s="260"/>
      <c r="F133" s="262"/>
      <c r="G133" s="258"/>
      <c r="H133" s="260"/>
      <c r="I133" s="262"/>
      <c r="J133" s="258"/>
    </row>
    <row r="134" s="241" customFormat="1" ht="18" customHeight="1" spans="1:10">
      <c r="A134" s="253" t="s">
        <v>1347</v>
      </c>
      <c r="B134" s="254"/>
      <c r="C134" s="259"/>
      <c r="D134" s="258"/>
      <c r="E134" s="260"/>
      <c r="F134" s="262">
        <f t="shared" ref="F130:F136" si="4">C134-E134</f>
        <v>0</v>
      </c>
      <c r="G134" s="258"/>
      <c r="H134" s="260"/>
      <c r="I134" s="262">
        <f t="shared" ref="I130:I136" si="5">H134-B134</f>
        <v>0</v>
      </c>
      <c r="J134" s="258"/>
    </row>
    <row r="135" s="241" customFormat="1" ht="18" customHeight="1" spans="1:10">
      <c r="A135" s="253" t="s">
        <v>1348</v>
      </c>
      <c r="B135" s="254"/>
      <c r="C135" s="259"/>
      <c r="D135" s="258"/>
      <c r="E135" s="260"/>
      <c r="F135" s="262">
        <f t="shared" si="4"/>
        <v>0</v>
      </c>
      <c r="G135" s="258"/>
      <c r="H135" s="260">
        <v>40</v>
      </c>
      <c r="I135" s="262">
        <f t="shared" si="5"/>
        <v>40</v>
      </c>
      <c r="J135" s="258"/>
    </row>
    <row r="136" s="241" customFormat="1" ht="18" customHeight="1" spans="1:10">
      <c r="A136" s="253" t="s">
        <v>1349</v>
      </c>
      <c r="B136" s="254"/>
      <c r="C136" s="259"/>
      <c r="D136" s="258"/>
      <c r="E136" s="260">
        <f>SUM(E137:E139)</f>
        <v>0</v>
      </c>
      <c r="F136" s="262">
        <f t="shared" si="4"/>
        <v>0</v>
      </c>
      <c r="G136" s="258"/>
      <c r="H136" s="260">
        <f>SUM(H137:H139)</f>
        <v>0</v>
      </c>
      <c r="I136" s="262">
        <f t="shared" si="5"/>
        <v>0</v>
      </c>
      <c r="J136" s="258"/>
    </row>
    <row r="137" s="241" customFormat="1" ht="18" customHeight="1" spans="1:10">
      <c r="A137" s="253" t="s">
        <v>1350</v>
      </c>
      <c r="B137" s="254"/>
      <c r="C137" s="259"/>
      <c r="D137" s="258"/>
      <c r="E137" s="260"/>
      <c r="F137" s="262"/>
      <c r="G137" s="258"/>
      <c r="H137" s="260"/>
      <c r="I137" s="262"/>
      <c r="J137" s="258"/>
    </row>
    <row r="138" s="241" customFormat="1" ht="18" customHeight="1" spans="1:10">
      <c r="A138" s="253" t="s">
        <v>1339</v>
      </c>
      <c r="B138" s="254"/>
      <c r="C138" s="259"/>
      <c r="D138" s="258"/>
      <c r="E138" s="260"/>
      <c r="F138" s="262"/>
      <c r="G138" s="258"/>
      <c r="H138" s="260"/>
      <c r="I138" s="262"/>
      <c r="J138" s="258"/>
    </row>
    <row r="139" s="241" customFormat="1" ht="18" customHeight="1" spans="1:10">
      <c r="A139" s="253" t="s">
        <v>1351</v>
      </c>
      <c r="B139" s="254"/>
      <c r="C139" s="259"/>
      <c r="D139" s="258"/>
      <c r="E139" s="260"/>
      <c r="F139" s="262"/>
      <c r="G139" s="258"/>
      <c r="H139" s="260"/>
      <c r="I139" s="262"/>
      <c r="J139" s="258"/>
    </row>
    <row r="140" s="241" customFormat="1" ht="18" customHeight="1" spans="1:10">
      <c r="A140" s="253" t="s">
        <v>1352</v>
      </c>
      <c r="B140" s="254"/>
      <c r="C140" s="259"/>
      <c r="D140" s="258"/>
      <c r="E140" s="260">
        <f>SUM(E141:E143)</f>
        <v>0</v>
      </c>
      <c r="F140" s="262">
        <f t="shared" ref="F140:F145" si="6">C140-E140</f>
        <v>0</v>
      </c>
      <c r="G140" s="258"/>
      <c r="H140" s="260">
        <f>SUM(H141:H143)</f>
        <v>0</v>
      </c>
      <c r="I140" s="262">
        <f t="shared" ref="I140:I145" si="7">H140-B140</f>
        <v>0</v>
      </c>
      <c r="J140" s="258"/>
    </row>
    <row r="141" s="241" customFormat="1" ht="18" customHeight="1" spans="1:10">
      <c r="A141" s="253" t="s">
        <v>1350</v>
      </c>
      <c r="B141" s="254"/>
      <c r="C141" s="259"/>
      <c r="D141" s="258"/>
      <c r="E141" s="260"/>
      <c r="F141" s="262"/>
      <c r="G141" s="258"/>
      <c r="H141" s="260"/>
      <c r="I141" s="262"/>
      <c r="J141" s="258"/>
    </row>
    <row r="142" s="241" customFormat="1" ht="18" customHeight="1" spans="1:10">
      <c r="A142" s="253" t="s">
        <v>1339</v>
      </c>
      <c r="B142" s="254"/>
      <c r="C142" s="259"/>
      <c r="D142" s="258"/>
      <c r="E142" s="260"/>
      <c r="F142" s="262"/>
      <c r="G142" s="258"/>
      <c r="H142" s="260"/>
      <c r="I142" s="262"/>
      <c r="J142" s="258"/>
    </row>
    <row r="143" s="241" customFormat="1" ht="18" customHeight="1" spans="1:10">
      <c r="A143" s="253" t="s">
        <v>1353</v>
      </c>
      <c r="B143" s="254"/>
      <c r="C143" s="259"/>
      <c r="D143" s="258"/>
      <c r="E143" s="260"/>
      <c r="F143" s="262"/>
      <c r="G143" s="258"/>
      <c r="H143" s="260"/>
      <c r="I143" s="262"/>
      <c r="J143" s="258"/>
    </row>
    <row r="144" s="241" customFormat="1" ht="18" customHeight="1" spans="1:10">
      <c r="A144" s="253" t="s">
        <v>1354</v>
      </c>
      <c r="B144" s="254"/>
      <c r="C144" s="259"/>
      <c r="D144" s="258"/>
      <c r="E144" s="260"/>
      <c r="F144" s="262">
        <f t="shared" si="6"/>
        <v>0</v>
      </c>
      <c r="G144" s="258"/>
      <c r="H144" s="260"/>
      <c r="I144" s="262">
        <f t="shared" si="7"/>
        <v>0</v>
      </c>
      <c r="J144" s="258"/>
    </row>
    <row r="145" s="241" customFormat="1" ht="18" customHeight="1" spans="1:10">
      <c r="A145" s="253" t="s">
        <v>1245</v>
      </c>
      <c r="B145" s="254"/>
      <c r="C145" s="260">
        <f>20047.576752+1276-1</f>
        <v>21322.576752</v>
      </c>
      <c r="D145" s="258"/>
      <c r="E145" s="260"/>
      <c r="F145" s="262">
        <f t="shared" si="6"/>
        <v>21322.576752</v>
      </c>
      <c r="G145" s="258"/>
      <c r="H145" s="260">
        <f>SUM(H146:H148)</f>
        <v>18676.529254</v>
      </c>
      <c r="I145" s="262">
        <f t="shared" si="7"/>
        <v>18676.529254</v>
      </c>
      <c r="J145" s="258"/>
    </row>
    <row r="146" s="241" customFormat="1" ht="18" customHeight="1" spans="1:10">
      <c r="A146" s="253" t="s">
        <v>1355</v>
      </c>
      <c r="B146" s="254"/>
      <c r="C146" s="259"/>
      <c r="D146" s="258"/>
      <c r="E146" s="260"/>
      <c r="F146" s="262"/>
      <c r="G146" s="258"/>
      <c r="H146" s="260">
        <v>0</v>
      </c>
      <c r="I146" s="262"/>
      <c r="J146" s="258"/>
    </row>
    <row r="147" s="241" customFormat="1" ht="18" customHeight="1" spans="1:10">
      <c r="A147" s="253" t="s">
        <v>1356</v>
      </c>
      <c r="B147" s="254"/>
      <c r="C147" s="259"/>
      <c r="D147" s="258"/>
      <c r="E147" s="260"/>
      <c r="F147" s="262"/>
      <c r="G147" s="258"/>
      <c r="H147" s="260">
        <v>18676.529254</v>
      </c>
      <c r="I147" s="262"/>
      <c r="J147" s="258"/>
    </row>
    <row r="148" s="241" customFormat="1" ht="18" customHeight="1" spans="1:10">
      <c r="A148" s="253" t="s">
        <v>1357</v>
      </c>
      <c r="B148" s="254"/>
      <c r="C148" s="259"/>
      <c r="D148" s="258"/>
      <c r="E148" s="260"/>
      <c r="F148" s="262"/>
      <c r="G148" s="258"/>
      <c r="H148" s="260">
        <v>0</v>
      </c>
      <c r="I148" s="262"/>
      <c r="J148" s="258"/>
    </row>
    <row r="149" s="242" customFormat="1" ht="18" customHeight="1" spans="1:11">
      <c r="A149" s="251" t="s">
        <v>1358</v>
      </c>
      <c r="B149" s="262">
        <f>B150+B155+B164+B165+B175+B178+B179</f>
        <v>0</v>
      </c>
      <c r="C149" s="262">
        <f>C150+C155+C164+C165+C175+C178+C179</f>
        <v>2250.66</v>
      </c>
      <c r="D149" s="258"/>
      <c r="E149" s="262">
        <f>E150+E155+E164+E165+E175+E178+E179</f>
        <v>71</v>
      </c>
      <c r="F149" s="262">
        <f>C149-E149</f>
        <v>2179.66</v>
      </c>
      <c r="G149" s="258">
        <f>F149/E149*100</f>
        <v>3069.94366197183</v>
      </c>
      <c r="H149" s="262">
        <f>H150+H155+H164+H165+H175+H178+H179</f>
        <v>0</v>
      </c>
      <c r="I149" s="262">
        <f>H149-B149</f>
        <v>0</v>
      </c>
      <c r="J149" s="258"/>
      <c r="K149" s="241"/>
    </row>
    <row r="150" s="241" customFormat="1" ht="18" customHeight="1" spans="1:10">
      <c r="A150" s="253" t="s">
        <v>1359</v>
      </c>
      <c r="B150" s="254"/>
      <c r="C150" s="259"/>
      <c r="D150" s="258"/>
      <c r="E150" s="260"/>
      <c r="F150" s="262">
        <f>C150-E150</f>
        <v>0</v>
      </c>
      <c r="G150" s="258"/>
      <c r="H150" s="260">
        <f>SUM(H151:H154)</f>
        <v>0</v>
      </c>
      <c r="I150" s="262">
        <f>H150-B150</f>
        <v>0</v>
      </c>
      <c r="J150" s="258"/>
    </row>
    <row r="151" s="241" customFormat="1" ht="18" customHeight="1" spans="1:10">
      <c r="A151" s="253" t="s">
        <v>1360</v>
      </c>
      <c r="B151" s="254"/>
      <c r="C151" s="259"/>
      <c r="D151" s="258"/>
      <c r="E151" s="260"/>
      <c r="F151" s="262"/>
      <c r="G151" s="258"/>
      <c r="H151" s="260"/>
      <c r="I151" s="262"/>
      <c r="J151" s="258"/>
    </row>
    <row r="152" s="241" customFormat="1" ht="18" customHeight="1" spans="1:10">
      <c r="A152" s="253" t="s">
        <v>1361</v>
      </c>
      <c r="B152" s="254"/>
      <c r="C152" s="259"/>
      <c r="D152" s="258"/>
      <c r="E152" s="260"/>
      <c r="F152" s="262"/>
      <c r="G152" s="258"/>
      <c r="H152" s="260"/>
      <c r="I152" s="262"/>
      <c r="J152" s="258"/>
    </row>
    <row r="153" s="241" customFormat="1" ht="18" customHeight="1" spans="1:10">
      <c r="A153" s="253" t="s">
        <v>1362</v>
      </c>
      <c r="B153" s="254"/>
      <c r="C153" s="259"/>
      <c r="D153" s="258"/>
      <c r="E153" s="260"/>
      <c r="F153" s="262"/>
      <c r="G153" s="258"/>
      <c r="H153" s="260"/>
      <c r="I153" s="262"/>
      <c r="J153" s="258"/>
    </row>
    <row r="154" s="241" customFormat="1" ht="18" customHeight="1" spans="1:10">
      <c r="A154" s="253" t="s">
        <v>1363</v>
      </c>
      <c r="B154" s="254"/>
      <c r="C154" s="259"/>
      <c r="D154" s="258"/>
      <c r="E154" s="260"/>
      <c r="F154" s="262"/>
      <c r="G154" s="258"/>
      <c r="H154" s="260"/>
      <c r="I154" s="262"/>
      <c r="J154" s="258"/>
    </row>
    <row r="155" s="241" customFormat="1" ht="18" customHeight="1" spans="1:10">
      <c r="A155" s="253" t="s">
        <v>1364</v>
      </c>
      <c r="B155" s="254"/>
      <c r="C155" s="259"/>
      <c r="D155" s="258"/>
      <c r="E155" s="260"/>
      <c r="F155" s="262">
        <f>C155-E155</f>
        <v>0</v>
      </c>
      <c r="G155" s="258"/>
      <c r="H155" s="260">
        <f>SUM(H156:H163)</f>
        <v>0</v>
      </c>
      <c r="I155" s="262">
        <f>H155-B155</f>
        <v>0</v>
      </c>
      <c r="J155" s="258"/>
    </row>
    <row r="156" s="241" customFormat="1" ht="18" customHeight="1" spans="1:10">
      <c r="A156" s="253" t="s">
        <v>1365</v>
      </c>
      <c r="B156" s="254"/>
      <c r="C156" s="259"/>
      <c r="D156" s="258"/>
      <c r="E156" s="260"/>
      <c r="F156" s="262"/>
      <c r="G156" s="258"/>
      <c r="H156" s="260"/>
      <c r="I156" s="262"/>
      <c r="J156" s="258"/>
    </row>
    <row r="157" s="241" customFormat="1" ht="18" customHeight="1" spans="1:10">
      <c r="A157" s="253" t="s">
        <v>1366</v>
      </c>
      <c r="B157" s="254"/>
      <c r="C157" s="259"/>
      <c r="D157" s="258"/>
      <c r="E157" s="260"/>
      <c r="F157" s="262"/>
      <c r="G157" s="258"/>
      <c r="H157" s="260"/>
      <c r="I157" s="262"/>
      <c r="J157" s="258"/>
    </row>
    <row r="158" s="241" customFormat="1" ht="18" customHeight="1" spans="1:10">
      <c r="A158" s="253" t="s">
        <v>1367</v>
      </c>
      <c r="B158" s="254"/>
      <c r="C158" s="259"/>
      <c r="D158" s="258"/>
      <c r="E158" s="260"/>
      <c r="F158" s="262"/>
      <c r="G158" s="258"/>
      <c r="H158" s="260"/>
      <c r="I158" s="262"/>
      <c r="J158" s="258"/>
    </row>
    <row r="159" s="241" customFormat="1" ht="18" customHeight="1" spans="1:10">
      <c r="A159" s="253" t="s">
        <v>1368</v>
      </c>
      <c r="B159" s="254"/>
      <c r="C159" s="259"/>
      <c r="D159" s="258"/>
      <c r="E159" s="260"/>
      <c r="F159" s="262"/>
      <c r="G159" s="258"/>
      <c r="H159" s="260"/>
      <c r="I159" s="262"/>
      <c r="J159" s="258"/>
    </row>
    <row r="160" s="241" customFormat="1" ht="18" customHeight="1" spans="1:10">
      <c r="A160" s="253" t="s">
        <v>1369</v>
      </c>
      <c r="B160" s="254"/>
      <c r="C160" s="259"/>
      <c r="D160" s="258"/>
      <c r="E160" s="260"/>
      <c r="F160" s="262"/>
      <c r="G160" s="258"/>
      <c r="H160" s="260"/>
      <c r="I160" s="262"/>
      <c r="J160" s="258"/>
    </row>
    <row r="161" s="241" customFormat="1" ht="18" customHeight="1" spans="1:10">
      <c r="A161" s="253" t="s">
        <v>1370</v>
      </c>
      <c r="B161" s="254"/>
      <c r="C161" s="259"/>
      <c r="D161" s="258"/>
      <c r="E161" s="260"/>
      <c r="F161" s="262"/>
      <c r="G161" s="258"/>
      <c r="H161" s="260"/>
      <c r="I161" s="262"/>
      <c r="J161" s="258"/>
    </row>
    <row r="162" s="241" customFormat="1" ht="18" customHeight="1" spans="1:10">
      <c r="A162" s="253" t="s">
        <v>1371</v>
      </c>
      <c r="B162" s="254"/>
      <c r="C162" s="259"/>
      <c r="D162" s="258"/>
      <c r="E162" s="260"/>
      <c r="F162" s="262"/>
      <c r="G162" s="258"/>
      <c r="H162" s="260"/>
      <c r="I162" s="262"/>
      <c r="J162" s="258"/>
    </row>
    <row r="163" s="241" customFormat="1" ht="18" customHeight="1" spans="1:10">
      <c r="A163" s="253" t="s">
        <v>1372</v>
      </c>
      <c r="B163" s="254"/>
      <c r="C163" s="259"/>
      <c r="D163" s="258"/>
      <c r="E163" s="260"/>
      <c r="F163" s="262"/>
      <c r="G163" s="258"/>
      <c r="H163" s="260"/>
      <c r="I163" s="262"/>
      <c r="J163" s="258"/>
    </row>
    <row r="164" s="241" customFormat="1" ht="18" customHeight="1" spans="1:10">
      <c r="A164" s="253" t="s">
        <v>1373</v>
      </c>
      <c r="B164" s="254"/>
      <c r="C164" s="259"/>
      <c r="D164" s="258"/>
      <c r="E164" s="260"/>
      <c r="F164" s="262">
        <f>C164-E164</f>
        <v>0</v>
      </c>
      <c r="G164" s="258"/>
      <c r="H164" s="260"/>
      <c r="I164" s="262">
        <f>H164-B164</f>
        <v>0</v>
      </c>
      <c r="J164" s="258"/>
    </row>
    <row r="165" s="241" customFormat="1" ht="18" customHeight="1" spans="1:10">
      <c r="A165" s="253" t="s">
        <v>1374</v>
      </c>
      <c r="B165" s="254"/>
      <c r="C165" s="260">
        <v>67.64</v>
      </c>
      <c r="D165" s="258"/>
      <c r="E165" s="260">
        <v>71</v>
      </c>
      <c r="F165" s="262">
        <f>C165-E165</f>
        <v>-3.36</v>
      </c>
      <c r="G165" s="258">
        <f>F165/E165*100</f>
        <v>-4.73239436619718</v>
      </c>
      <c r="H165" s="260">
        <f>SUM(H166:H174)</f>
        <v>0</v>
      </c>
      <c r="I165" s="262">
        <f>H165-B165</f>
        <v>0</v>
      </c>
      <c r="J165" s="258"/>
    </row>
    <row r="166" s="241" customFormat="1" ht="18" customHeight="1" spans="1:10">
      <c r="A166" s="253" t="s">
        <v>1375</v>
      </c>
      <c r="B166" s="254"/>
      <c r="C166" s="259"/>
      <c r="D166" s="258"/>
      <c r="E166" s="260"/>
      <c r="F166" s="262"/>
      <c r="G166" s="258"/>
      <c r="H166" s="260"/>
      <c r="I166" s="262"/>
      <c r="J166" s="258"/>
    </row>
    <row r="167" s="241" customFormat="1" ht="18" customHeight="1" spans="1:10">
      <c r="A167" s="253" t="s">
        <v>1376</v>
      </c>
      <c r="B167" s="254"/>
      <c r="C167" s="259"/>
      <c r="D167" s="258"/>
      <c r="E167" s="260"/>
      <c r="F167" s="262"/>
      <c r="G167" s="258"/>
      <c r="H167" s="260"/>
      <c r="I167" s="262"/>
      <c r="J167" s="258"/>
    </row>
    <row r="168" s="241" customFormat="1" ht="18" customHeight="1" spans="1:10">
      <c r="A168" s="253" t="s">
        <v>1377</v>
      </c>
      <c r="B168" s="254"/>
      <c r="C168" s="259"/>
      <c r="D168" s="258"/>
      <c r="E168" s="260"/>
      <c r="F168" s="262"/>
      <c r="G168" s="258"/>
      <c r="H168" s="260"/>
      <c r="I168" s="262"/>
      <c r="J168" s="258"/>
    </row>
    <row r="169" s="241" customFormat="1" ht="18" customHeight="1" spans="1:10">
      <c r="A169" s="253" t="s">
        <v>1378</v>
      </c>
      <c r="B169" s="254"/>
      <c r="C169" s="259"/>
      <c r="D169" s="258"/>
      <c r="E169" s="260"/>
      <c r="F169" s="262"/>
      <c r="G169" s="258"/>
      <c r="H169" s="260"/>
      <c r="I169" s="262"/>
      <c r="J169" s="258"/>
    </row>
    <row r="170" s="241" customFormat="1" ht="18" customHeight="1" spans="1:10">
      <c r="A170" s="253" t="s">
        <v>1379</v>
      </c>
      <c r="B170" s="254"/>
      <c r="C170" s="259"/>
      <c r="D170" s="258"/>
      <c r="E170" s="260"/>
      <c r="F170" s="262"/>
      <c r="G170" s="258"/>
      <c r="H170" s="260"/>
      <c r="I170" s="262"/>
      <c r="J170" s="258"/>
    </row>
    <row r="171" s="241" customFormat="1" ht="18" customHeight="1" spans="1:10">
      <c r="A171" s="253" t="s">
        <v>1380</v>
      </c>
      <c r="B171" s="254"/>
      <c r="C171" s="259"/>
      <c r="D171" s="258"/>
      <c r="E171" s="260"/>
      <c r="F171" s="262"/>
      <c r="G171" s="258"/>
      <c r="H171" s="260"/>
      <c r="I171" s="262"/>
      <c r="J171" s="258"/>
    </row>
    <row r="172" s="241" customFormat="1" ht="18" customHeight="1" spans="1:10">
      <c r="A172" s="253" t="s">
        <v>1381</v>
      </c>
      <c r="B172" s="254"/>
      <c r="C172" s="259"/>
      <c r="D172" s="258"/>
      <c r="E172" s="260"/>
      <c r="F172" s="262"/>
      <c r="G172" s="258"/>
      <c r="H172" s="260"/>
      <c r="I172" s="262"/>
      <c r="J172" s="258"/>
    </row>
    <row r="173" s="241" customFormat="1" ht="18" customHeight="1" spans="1:10">
      <c r="A173" s="253" t="s">
        <v>1382</v>
      </c>
      <c r="B173" s="254"/>
      <c r="C173" s="259"/>
      <c r="D173" s="258"/>
      <c r="E173" s="260"/>
      <c r="F173" s="262"/>
      <c r="G173" s="258"/>
      <c r="H173" s="260"/>
      <c r="I173" s="262"/>
      <c r="J173" s="258"/>
    </row>
    <row r="174" s="241" customFormat="1" ht="18" customHeight="1" spans="1:10">
      <c r="A174" s="253" t="s">
        <v>1383</v>
      </c>
      <c r="B174" s="254"/>
      <c r="C174" s="259"/>
      <c r="D174" s="258"/>
      <c r="E174" s="260"/>
      <c r="F174" s="262"/>
      <c r="G174" s="258"/>
      <c r="H174" s="260"/>
      <c r="I174" s="262"/>
      <c r="J174" s="258"/>
    </row>
    <row r="175" s="241" customFormat="1" ht="18" customHeight="1" spans="1:10">
      <c r="A175" s="253" t="s">
        <v>1384</v>
      </c>
      <c r="B175" s="254"/>
      <c r="C175" s="259"/>
      <c r="D175" s="258"/>
      <c r="E175" s="260"/>
      <c r="F175" s="262">
        <f t="shared" ref="F175:F181" si="8">C175-E175</f>
        <v>0</v>
      </c>
      <c r="G175" s="258"/>
      <c r="H175" s="260">
        <f>SUM(H176:H177)</f>
        <v>0</v>
      </c>
      <c r="I175" s="262">
        <f t="shared" ref="I175:I181" si="9">H175-B175</f>
        <v>0</v>
      </c>
      <c r="J175" s="258"/>
    </row>
    <row r="176" s="241" customFormat="1" ht="18" customHeight="1" spans="1:10">
      <c r="A176" s="253" t="s">
        <v>1385</v>
      </c>
      <c r="B176" s="254"/>
      <c r="C176" s="259"/>
      <c r="D176" s="258"/>
      <c r="E176" s="260"/>
      <c r="F176" s="262"/>
      <c r="G176" s="258"/>
      <c r="H176" s="260"/>
      <c r="I176" s="262"/>
      <c r="J176" s="258"/>
    </row>
    <row r="177" s="241" customFormat="1" ht="18" customHeight="1" spans="1:10">
      <c r="A177" s="253" t="s">
        <v>1386</v>
      </c>
      <c r="B177" s="254"/>
      <c r="C177" s="259"/>
      <c r="D177" s="258"/>
      <c r="E177" s="260"/>
      <c r="F177" s="262"/>
      <c r="G177" s="258"/>
      <c r="H177" s="260"/>
      <c r="I177" s="262"/>
      <c r="J177" s="258"/>
    </row>
    <row r="178" s="241" customFormat="1" ht="18" customHeight="1" spans="1:10">
      <c r="A178" s="253" t="s">
        <v>1387</v>
      </c>
      <c r="B178" s="254"/>
      <c r="C178" s="259"/>
      <c r="D178" s="258"/>
      <c r="E178" s="260"/>
      <c r="F178" s="262">
        <f t="shared" si="8"/>
        <v>0</v>
      </c>
      <c r="G178" s="258"/>
      <c r="H178" s="260"/>
      <c r="I178" s="262">
        <f t="shared" si="9"/>
        <v>0</v>
      </c>
      <c r="J178" s="258"/>
    </row>
    <row r="179" s="241" customFormat="1" ht="18" customHeight="1" spans="1:10">
      <c r="A179" s="253" t="s">
        <v>1245</v>
      </c>
      <c r="B179" s="254"/>
      <c r="C179" s="260">
        <v>2183.02</v>
      </c>
      <c r="D179" s="258"/>
      <c r="E179" s="260"/>
      <c r="F179" s="262">
        <f t="shared" si="8"/>
        <v>2183.02</v>
      </c>
      <c r="G179" s="258"/>
      <c r="H179" s="260"/>
      <c r="I179" s="262">
        <f t="shared" si="9"/>
        <v>0</v>
      </c>
      <c r="J179" s="258"/>
    </row>
    <row r="180" s="242" customFormat="1" ht="18" customHeight="1" spans="1:11">
      <c r="A180" s="251" t="s">
        <v>1388</v>
      </c>
      <c r="B180" s="252">
        <f>B181+B184</f>
        <v>11876</v>
      </c>
      <c r="C180" s="252">
        <f>C181+C184</f>
        <v>61275.583153</v>
      </c>
      <c r="D180" s="258"/>
      <c r="E180" s="262">
        <f>E181+E184</f>
        <v>4935</v>
      </c>
      <c r="F180" s="262">
        <f t="shared" si="8"/>
        <v>56340.583153</v>
      </c>
      <c r="G180" s="258"/>
      <c r="H180" s="262">
        <f>H181+H184</f>
        <v>7062.330147</v>
      </c>
      <c r="I180" s="262">
        <f t="shared" si="9"/>
        <v>-4813.669853</v>
      </c>
      <c r="J180" s="258">
        <f>I180/B180*100</f>
        <v>-40.5327538986191</v>
      </c>
      <c r="K180" s="241"/>
    </row>
    <row r="181" s="241" customFormat="1" ht="18" customHeight="1" spans="1:10">
      <c r="A181" s="253" t="s">
        <v>1389</v>
      </c>
      <c r="B181" s="254"/>
      <c r="C181" s="259"/>
      <c r="D181" s="258"/>
      <c r="E181" s="260"/>
      <c r="F181" s="262">
        <f t="shared" si="8"/>
        <v>0</v>
      </c>
      <c r="G181" s="258"/>
      <c r="H181" s="260"/>
      <c r="I181" s="262">
        <f t="shared" si="9"/>
        <v>0</v>
      </c>
      <c r="J181" s="258"/>
    </row>
    <row r="182" s="241" customFormat="1" ht="18" customHeight="1" spans="1:10">
      <c r="A182" s="253" t="s">
        <v>1390</v>
      </c>
      <c r="B182" s="254"/>
      <c r="C182" s="259"/>
      <c r="D182" s="258"/>
      <c r="E182" s="260"/>
      <c r="F182" s="262"/>
      <c r="G182" s="258"/>
      <c r="H182" s="260">
        <v>0</v>
      </c>
      <c r="I182" s="262"/>
      <c r="J182" s="258"/>
    </row>
    <row r="183" s="241" customFormat="1" ht="18" customHeight="1" spans="1:10">
      <c r="A183" s="253" t="s">
        <v>1391</v>
      </c>
      <c r="B183" s="254"/>
      <c r="C183" s="259"/>
      <c r="D183" s="258"/>
      <c r="E183" s="260"/>
      <c r="F183" s="262"/>
      <c r="G183" s="258"/>
      <c r="H183" s="260">
        <v>0</v>
      </c>
      <c r="I183" s="262"/>
      <c r="J183" s="258"/>
    </row>
    <row r="184" s="241" customFormat="1" ht="18" customHeight="1" spans="1:10">
      <c r="A184" s="253" t="s">
        <v>1245</v>
      </c>
      <c r="B184" s="254">
        <v>11876</v>
      </c>
      <c r="C184" s="260">
        <v>61275.583153</v>
      </c>
      <c r="D184" s="258"/>
      <c r="E184" s="260">
        <v>4935</v>
      </c>
      <c r="F184" s="262">
        <f t="shared" ref="F184:F186" si="10">C184-E184</f>
        <v>56340.583153</v>
      </c>
      <c r="G184" s="258"/>
      <c r="H184" s="260">
        <v>7062.330147</v>
      </c>
      <c r="I184" s="262">
        <f t="shared" ref="I184:I186" si="11">H184-B184</f>
        <v>-4813.669853</v>
      </c>
      <c r="J184" s="258">
        <f>I184/B184*100</f>
        <v>-40.5327538986191</v>
      </c>
    </row>
    <row r="185" s="242" customFormat="1" ht="18" customHeight="1" spans="1:11">
      <c r="A185" s="251" t="s">
        <v>1392</v>
      </c>
      <c r="B185" s="252">
        <f>B186</f>
        <v>0</v>
      </c>
      <c r="C185" s="261">
        <f>C186</f>
        <v>0</v>
      </c>
      <c r="D185" s="258"/>
      <c r="E185" s="262">
        <f>E186</f>
        <v>0</v>
      </c>
      <c r="F185" s="262">
        <f t="shared" si="10"/>
        <v>0</v>
      </c>
      <c r="G185" s="258"/>
      <c r="H185" s="262">
        <f>H186</f>
        <v>0</v>
      </c>
      <c r="I185" s="262">
        <f t="shared" si="11"/>
        <v>0</v>
      </c>
      <c r="J185" s="258"/>
      <c r="K185" s="241"/>
    </row>
    <row r="186" s="242" customFormat="1" ht="18" customHeight="1" spans="1:11">
      <c r="A186" s="253" t="s">
        <v>914</v>
      </c>
      <c r="B186" s="254"/>
      <c r="C186" s="263"/>
      <c r="D186" s="258"/>
      <c r="E186" s="262"/>
      <c r="F186" s="262">
        <f t="shared" si="10"/>
        <v>0</v>
      </c>
      <c r="G186" s="258"/>
      <c r="H186" s="262">
        <f>SUM(H187:H189)</f>
        <v>0</v>
      </c>
      <c r="I186" s="262">
        <f t="shared" si="11"/>
        <v>0</v>
      </c>
      <c r="J186" s="258"/>
      <c r="K186" s="241"/>
    </row>
    <row r="187" s="242" customFormat="1" ht="18" customHeight="1" spans="1:11">
      <c r="A187" s="253" t="s">
        <v>1393</v>
      </c>
      <c r="B187" s="254"/>
      <c r="C187" s="263"/>
      <c r="D187" s="258"/>
      <c r="E187" s="262"/>
      <c r="F187" s="262"/>
      <c r="G187" s="258"/>
      <c r="H187" s="262"/>
      <c r="I187" s="262"/>
      <c r="J187" s="258"/>
      <c r="K187" s="241"/>
    </row>
    <row r="188" s="242" customFormat="1" ht="18" customHeight="1" spans="1:11">
      <c r="A188" s="253" t="s">
        <v>1394</v>
      </c>
      <c r="B188" s="254"/>
      <c r="C188" s="263"/>
      <c r="D188" s="258"/>
      <c r="E188" s="262"/>
      <c r="F188" s="262"/>
      <c r="G188" s="258"/>
      <c r="H188" s="262"/>
      <c r="I188" s="262"/>
      <c r="J188" s="258"/>
      <c r="K188" s="241"/>
    </row>
    <row r="189" s="242" customFormat="1" ht="18" customHeight="1" spans="1:11">
      <c r="A189" s="253" t="s">
        <v>1395</v>
      </c>
      <c r="B189" s="254"/>
      <c r="C189" s="263"/>
      <c r="D189" s="258"/>
      <c r="E189" s="262"/>
      <c r="F189" s="262"/>
      <c r="G189" s="258"/>
      <c r="H189" s="262"/>
      <c r="I189" s="262"/>
      <c r="J189" s="258"/>
      <c r="K189" s="241"/>
    </row>
    <row r="190" s="242" customFormat="1" ht="18" customHeight="1" spans="1:11">
      <c r="A190" s="251" t="s">
        <v>1396</v>
      </c>
      <c r="B190" s="252">
        <f>B191</f>
        <v>0</v>
      </c>
      <c r="C190" s="261">
        <f>C191</f>
        <v>0</v>
      </c>
      <c r="D190" s="258"/>
      <c r="E190" s="262">
        <f>E191</f>
        <v>0</v>
      </c>
      <c r="F190" s="262">
        <f t="shared" ref="F190:F195" si="12">C190-E190</f>
        <v>0</v>
      </c>
      <c r="G190" s="258"/>
      <c r="H190" s="262">
        <f>H191</f>
        <v>0</v>
      </c>
      <c r="I190" s="262">
        <f t="shared" ref="I190:I195" si="13">H190-B190</f>
        <v>0</v>
      </c>
      <c r="J190" s="258"/>
      <c r="K190" s="241"/>
    </row>
    <row r="191" s="242" customFormat="1" ht="18" customHeight="1" spans="1:11">
      <c r="A191" s="253" t="s">
        <v>1397</v>
      </c>
      <c r="B191" s="254"/>
      <c r="C191" s="263"/>
      <c r="D191" s="258"/>
      <c r="E191" s="262"/>
      <c r="F191" s="262">
        <f t="shared" si="12"/>
        <v>0</v>
      </c>
      <c r="G191" s="258"/>
      <c r="H191" s="262">
        <f>SUM(H192:H193)</f>
        <v>0</v>
      </c>
      <c r="I191" s="262">
        <f t="shared" si="13"/>
        <v>0</v>
      </c>
      <c r="J191" s="258"/>
      <c r="K191" s="241"/>
    </row>
    <row r="192" s="242" customFormat="1" ht="18" customHeight="1" spans="1:11">
      <c r="A192" s="253" t="s">
        <v>1398</v>
      </c>
      <c r="B192" s="254"/>
      <c r="C192" s="263"/>
      <c r="D192" s="258"/>
      <c r="E192" s="262"/>
      <c r="F192" s="262"/>
      <c r="G192" s="258"/>
      <c r="H192" s="262"/>
      <c r="I192" s="262"/>
      <c r="J192" s="258"/>
      <c r="K192" s="241"/>
    </row>
    <row r="193" s="242" customFormat="1" ht="18" customHeight="1" spans="1:11">
      <c r="A193" s="253" t="s">
        <v>1399</v>
      </c>
      <c r="B193" s="254"/>
      <c r="C193" s="263"/>
      <c r="D193" s="258"/>
      <c r="E193" s="262"/>
      <c r="F193" s="262"/>
      <c r="G193" s="258"/>
      <c r="H193" s="262"/>
      <c r="I193" s="262"/>
      <c r="J193" s="258"/>
      <c r="K193" s="241"/>
    </row>
    <row r="194" s="242" customFormat="1" ht="18" customHeight="1" spans="1:11">
      <c r="A194" s="251" t="s">
        <v>1400</v>
      </c>
      <c r="B194" s="252">
        <f>B195</f>
        <v>465</v>
      </c>
      <c r="C194" s="252">
        <f>C195</f>
        <v>465</v>
      </c>
      <c r="D194" s="258"/>
      <c r="E194" s="262">
        <f>E195</f>
        <v>0</v>
      </c>
      <c r="F194" s="262">
        <f t="shared" si="12"/>
        <v>465</v>
      </c>
      <c r="G194" s="258"/>
      <c r="H194" s="262">
        <f>H195</f>
        <v>1335</v>
      </c>
      <c r="I194" s="262">
        <f t="shared" si="13"/>
        <v>870</v>
      </c>
      <c r="J194" s="258">
        <f>I194/B194*100</f>
        <v>187.096774193548</v>
      </c>
      <c r="K194" s="241"/>
    </row>
    <row r="195" s="242" customFormat="1" ht="18" customHeight="1" spans="1:11">
      <c r="A195" s="253" t="s">
        <v>1245</v>
      </c>
      <c r="B195" s="254">
        <v>465</v>
      </c>
      <c r="C195" s="254">
        <v>465</v>
      </c>
      <c r="D195" s="258"/>
      <c r="E195" s="262"/>
      <c r="F195" s="262">
        <f t="shared" si="12"/>
        <v>465</v>
      </c>
      <c r="G195" s="258"/>
      <c r="H195" s="260">
        <f>SUM(H196:H197)</f>
        <v>1335</v>
      </c>
      <c r="I195" s="262">
        <f t="shared" si="13"/>
        <v>870</v>
      </c>
      <c r="J195" s="258">
        <f>I195/B195*100</f>
        <v>187.096774193548</v>
      </c>
      <c r="K195" s="241"/>
    </row>
    <row r="196" s="242" customFormat="1" ht="18" customHeight="1" spans="1:11">
      <c r="A196" s="253" t="s">
        <v>1401</v>
      </c>
      <c r="B196" s="254"/>
      <c r="C196" s="263"/>
      <c r="D196" s="258"/>
      <c r="E196" s="262"/>
      <c r="F196" s="262"/>
      <c r="G196" s="258"/>
      <c r="H196" s="260">
        <v>0</v>
      </c>
      <c r="I196" s="262"/>
      <c r="J196" s="258"/>
      <c r="K196" s="241"/>
    </row>
    <row r="197" s="242" customFormat="1" ht="18" customHeight="1" spans="1:11">
      <c r="A197" s="253" t="s">
        <v>1402</v>
      </c>
      <c r="B197" s="254"/>
      <c r="C197" s="263"/>
      <c r="D197" s="258"/>
      <c r="E197" s="262"/>
      <c r="F197" s="262"/>
      <c r="G197" s="258"/>
      <c r="H197" s="260">
        <v>1335</v>
      </c>
      <c r="I197" s="262"/>
      <c r="J197" s="258"/>
      <c r="K197" s="241"/>
    </row>
    <row r="198" s="242" customFormat="1" ht="18" customHeight="1" spans="1:11">
      <c r="A198" s="251" t="s">
        <v>1403</v>
      </c>
      <c r="B198" s="252">
        <f>B199</f>
        <v>0</v>
      </c>
      <c r="C198" s="252">
        <f>C199</f>
        <v>3100</v>
      </c>
      <c r="D198" s="258"/>
      <c r="E198" s="262">
        <f>E199</f>
        <v>0</v>
      </c>
      <c r="F198" s="262">
        <f t="shared" ref="F198:F203" si="14">C198-E198</f>
        <v>3100</v>
      </c>
      <c r="G198" s="258"/>
      <c r="H198" s="262">
        <f>H199</f>
        <v>0</v>
      </c>
      <c r="I198" s="262">
        <f t="shared" ref="I198:I203" si="15">H198-B198</f>
        <v>0</v>
      </c>
      <c r="J198" s="258"/>
      <c r="K198" s="241"/>
    </row>
    <row r="199" s="242" customFormat="1" ht="18" customHeight="1" spans="1:11">
      <c r="A199" s="253" t="s">
        <v>1245</v>
      </c>
      <c r="B199" s="254"/>
      <c r="C199" s="254">
        <v>3100</v>
      </c>
      <c r="D199" s="258"/>
      <c r="E199" s="262"/>
      <c r="F199" s="262">
        <f t="shared" si="14"/>
        <v>3100</v>
      </c>
      <c r="G199" s="258"/>
      <c r="H199" s="262">
        <f>SUM(H200:H201)</f>
        <v>0</v>
      </c>
      <c r="I199" s="262">
        <f t="shared" si="15"/>
        <v>0</v>
      </c>
      <c r="J199" s="258"/>
      <c r="K199" s="241"/>
    </row>
    <row r="200" s="242" customFormat="1" ht="18" customHeight="1" spans="1:11">
      <c r="A200" s="253" t="s">
        <v>1404</v>
      </c>
      <c r="B200" s="254"/>
      <c r="C200" s="263"/>
      <c r="D200" s="258"/>
      <c r="E200" s="262"/>
      <c r="F200" s="262"/>
      <c r="G200" s="258"/>
      <c r="H200" s="262"/>
      <c r="I200" s="262"/>
      <c r="J200" s="258"/>
      <c r="K200" s="241"/>
    </row>
    <row r="201" s="242" customFormat="1" ht="18" customHeight="1" spans="1:11">
      <c r="A201" s="253" t="s">
        <v>1405</v>
      </c>
      <c r="B201" s="254"/>
      <c r="C201" s="263"/>
      <c r="D201" s="258"/>
      <c r="E201" s="262"/>
      <c r="F201" s="262"/>
      <c r="G201" s="258"/>
      <c r="H201" s="262"/>
      <c r="I201" s="262"/>
      <c r="J201" s="258"/>
      <c r="K201" s="241"/>
    </row>
    <row r="202" s="242" customFormat="1" ht="18" customHeight="1" spans="1:11">
      <c r="A202" s="251" t="s">
        <v>1406</v>
      </c>
      <c r="B202" s="252">
        <f>B203</f>
        <v>0</v>
      </c>
      <c r="C202" s="261">
        <f>C203</f>
        <v>0</v>
      </c>
      <c r="D202" s="258"/>
      <c r="E202" s="262">
        <f>E203</f>
        <v>0</v>
      </c>
      <c r="F202" s="262">
        <f t="shared" si="14"/>
        <v>0</v>
      </c>
      <c r="G202" s="258"/>
      <c r="H202" s="262">
        <f>H203</f>
        <v>0</v>
      </c>
      <c r="I202" s="262">
        <f t="shared" si="15"/>
        <v>0</v>
      </c>
      <c r="J202" s="258"/>
      <c r="K202" s="241"/>
    </row>
    <row r="203" s="242" customFormat="1" ht="18" customHeight="1" spans="1:11">
      <c r="A203" s="253" t="s">
        <v>1245</v>
      </c>
      <c r="B203" s="254"/>
      <c r="C203" s="263"/>
      <c r="D203" s="258"/>
      <c r="E203" s="262"/>
      <c r="F203" s="262">
        <f t="shared" si="14"/>
        <v>0</v>
      </c>
      <c r="G203" s="258"/>
      <c r="H203" s="262">
        <f>SUM(H204:H206)</f>
        <v>0</v>
      </c>
      <c r="I203" s="262">
        <f t="shared" si="15"/>
        <v>0</v>
      </c>
      <c r="J203" s="258"/>
      <c r="K203" s="241"/>
    </row>
    <row r="204" s="242" customFormat="1" ht="18" customHeight="1" spans="1:11">
      <c r="A204" s="253" t="s">
        <v>1407</v>
      </c>
      <c r="B204" s="254"/>
      <c r="C204" s="263"/>
      <c r="D204" s="258"/>
      <c r="E204" s="262"/>
      <c r="F204" s="262"/>
      <c r="G204" s="258"/>
      <c r="H204" s="262"/>
      <c r="I204" s="262"/>
      <c r="J204" s="258"/>
      <c r="K204" s="241"/>
    </row>
    <row r="205" s="242" customFormat="1" ht="18" customHeight="1" spans="1:11">
      <c r="A205" s="253" t="s">
        <v>1408</v>
      </c>
      <c r="B205" s="254"/>
      <c r="C205" s="263"/>
      <c r="D205" s="258"/>
      <c r="E205" s="262"/>
      <c r="F205" s="262"/>
      <c r="G205" s="258"/>
      <c r="H205" s="262"/>
      <c r="I205" s="262"/>
      <c r="J205" s="258"/>
      <c r="K205" s="241"/>
    </row>
    <row r="206" s="242" customFormat="1" ht="18" customHeight="1" spans="1:11">
      <c r="A206" s="253" t="s">
        <v>1409</v>
      </c>
      <c r="B206" s="254"/>
      <c r="C206" s="263"/>
      <c r="D206" s="258"/>
      <c r="E206" s="262"/>
      <c r="F206" s="262"/>
      <c r="G206" s="258"/>
      <c r="H206" s="262"/>
      <c r="I206" s="262"/>
      <c r="J206" s="258"/>
      <c r="K206" s="241"/>
    </row>
    <row r="207" s="242" customFormat="1" ht="18" customHeight="1" spans="1:11">
      <c r="A207" s="251" t="s">
        <v>1410</v>
      </c>
      <c r="B207" s="252">
        <f>B208+B212+B221+B223+B225+B236</f>
        <v>53648</v>
      </c>
      <c r="C207" s="252">
        <f>C208+C212+C221+C223+C225+C236</f>
        <v>47135.801539</v>
      </c>
      <c r="D207" s="258">
        <f t="shared" ref="D207:D212" si="16">C207/B207*100</f>
        <v>87.8612465310916</v>
      </c>
      <c r="E207" s="269">
        <f>E208+E212+E221+E223+E225+E236</f>
        <v>53560</v>
      </c>
      <c r="F207" s="262">
        <f t="shared" ref="F207:F212" si="17">C207-E207</f>
        <v>-6424.198461</v>
      </c>
      <c r="G207" s="258">
        <f t="shared" ref="G207:G212" si="18">F207/E207*100</f>
        <v>-11.9943959316654</v>
      </c>
      <c r="H207" s="252">
        <f>H208+H212+H221+H223+H225+H236</f>
        <v>31261.676563</v>
      </c>
      <c r="I207" s="262">
        <f t="shared" ref="I207:I212" si="19">H207-B207</f>
        <v>-22386.323437</v>
      </c>
      <c r="J207" s="258">
        <f>I207/B207*100</f>
        <v>-41.7281602986132</v>
      </c>
      <c r="K207" s="241"/>
    </row>
    <row r="208" s="241" customFormat="1" ht="18" customHeight="1" spans="1:10">
      <c r="A208" s="253" t="s">
        <v>1411</v>
      </c>
      <c r="B208" s="254">
        <v>51548</v>
      </c>
      <c r="C208" s="254">
        <v>43980</v>
      </c>
      <c r="D208" s="258">
        <f t="shared" si="16"/>
        <v>85.3185380616125</v>
      </c>
      <c r="E208" s="260">
        <v>50845</v>
      </c>
      <c r="F208" s="262">
        <f t="shared" si="17"/>
        <v>-6865</v>
      </c>
      <c r="G208" s="258">
        <f t="shared" si="18"/>
        <v>-13.5018192545973</v>
      </c>
      <c r="H208" s="260">
        <f>SUM(H209:H211)</f>
        <v>26787.241863</v>
      </c>
      <c r="I208" s="262">
        <f t="shared" si="19"/>
        <v>-24760.758137</v>
      </c>
      <c r="J208" s="258">
        <f>I208/B208*100</f>
        <v>-48.0343721133701</v>
      </c>
    </row>
    <row r="209" s="241" customFormat="1" ht="18" customHeight="1" spans="1:10">
      <c r="A209" s="253" t="s">
        <v>1412</v>
      </c>
      <c r="B209" s="254"/>
      <c r="C209" s="259"/>
      <c r="D209" s="258"/>
      <c r="E209" s="260"/>
      <c r="F209" s="262"/>
      <c r="G209" s="258"/>
      <c r="H209" s="260">
        <v>0</v>
      </c>
      <c r="I209" s="262"/>
      <c r="J209" s="258"/>
    </row>
    <row r="210" s="241" customFormat="1" ht="18" customHeight="1" spans="1:10">
      <c r="A210" s="253" t="s">
        <v>1413</v>
      </c>
      <c r="B210" s="254"/>
      <c r="C210" s="259"/>
      <c r="D210" s="258"/>
      <c r="E210" s="260"/>
      <c r="F210" s="262"/>
      <c r="G210" s="258"/>
      <c r="H210" s="260">
        <v>26787.241863</v>
      </c>
      <c r="I210" s="262"/>
      <c r="J210" s="258"/>
    </row>
    <row r="211" s="241" customFormat="1" ht="18" customHeight="1" spans="1:10">
      <c r="A211" s="253" t="s">
        <v>1414</v>
      </c>
      <c r="B211" s="254"/>
      <c r="C211" s="259"/>
      <c r="D211" s="258"/>
      <c r="E211" s="260"/>
      <c r="F211" s="262"/>
      <c r="G211" s="258"/>
      <c r="H211" s="260">
        <v>0</v>
      </c>
      <c r="I211" s="262"/>
      <c r="J211" s="258"/>
    </row>
    <row r="212" s="241" customFormat="1" ht="18" customHeight="1" spans="1:10">
      <c r="A212" s="253" t="s">
        <v>1415</v>
      </c>
      <c r="B212" s="254">
        <v>610</v>
      </c>
      <c r="C212" s="260">
        <v>270.325909</v>
      </c>
      <c r="D212" s="258">
        <f t="shared" si="16"/>
        <v>44.3157227868852</v>
      </c>
      <c r="E212" s="260">
        <v>277</v>
      </c>
      <c r="F212" s="262">
        <f t="shared" si="17"/>
        <v>-6.67409099999998</v>
      </c>
      <c r="G212" s="258">
        <f t="shared" si="18"/>
        <v>-2.409419133574</v>
      </c>
      <c r="H212" s="260">
        <f>SUM(H213:H220)</f>
        <v>460</v>
      </c>
      <c r="I212" s="262">
        <f t="shared" si="19"/>
        <v>-150</v>
      </c>
      <c r="J212" s="258">
        <f>I212/B212*100</f>
        <v>-24.5901639344262</v>
      </c>
    </row>
    <row r="213" s="241" customFormat="1" ht="18" customHeight="1" spans="1:10">
      <c r="A213" s="253" t="s">
        <v>1416</v>
      </c>
      <c r="B213" s="254"/>
      <c r="C213" s="259"/>
      <c r="D213" s="258"/>
      <c r="E213" s="260"/>
      <c r="F213" s="262"/>
      <c r="G213" s="258"/>
      <c r="H213" s="260">
        <v>0</v>
      </c>
      <c r="I213" s="262"/>
      <c r="J213" s="258"/>
    </row>
    <row r="214" s="241" customFormat="1" ht="18" customHeight="1" spans="1:10">
      <c r="A214" s="253" t="s">
        <v>1417</v>
      </c>
      <c r="B214" s="254"/>
      <c r="C214" s="259"/>
      <c r="D214" s="258"/>
      <c r="E214" s="260"/>
      <c r="F214" s="262"/>
      <c r="G214" s="258"/>
      <c r="H214" s="260">
        <v>0</v>
      </c>
      <c r="I214" s="262"/>
      <c r="J214" s="258"/>
    </row>
    <row r="215" s="241" customFormat="1" ht="18" customHeight="1" spans="1:10">
      <c r="A215" s="253" t="s">
        <v>1418</v>
      </c>
      <c r="B215" s="254"/>
      <c r="C215" s="259"/>
      <c r="D215" s="258"/>
      <c r="E215" s="260"/>
      <c r="F215" s="262"/>
      <c r="G215" s="258"/>
      <c r="H215" s="260">
        <v>460</v>
      </c>
      <c r="I215" s="262"/>
      <c r="J215" s="258"/>
    </row>
    <row r="216" s="241" customFormat="1" ht="18" customHeight="1" spans="1:10">
      <c r="A216" s="253" t="s">
        <v>1419</v>
      </c>
      <c r="B216" s="254"/>
      <c r="C216" s="259"/>
      <c r="D216" s="258"/>
      <c r="E216" s="260"/>
      <c r="F216" s="262"/>
      <c r="G216" s="258"/>
      <c r="H216" s="260">
        <v>0</v>
      </c>
      <c r="I216" s="262"/>
      <c r="J216" s="258"/>
    </row>
    <row r="217" s="241" customFormat="1" ht="18" customHeight="1" spans="1:10">
      <c r="A217" s="253" t="s">
        <v>1420</v>
      </c>
      <c r="B217" s="254"/>
      <c r="C217" s="259"/>
      <c r="D217" s="258"/>
      <c r="E217" s="260"/>
      <c r="F217" s="262"/>
      <c r="G217" s="258"/>
      <c r="H217" s="260">
        <v>0</v>
      </c>
      <c r="I217" s="262"/>
      <c r="J217" s="258"/>
    </row>
    <row r="218" s="241" customFormat="1" ht="18" customHeight="1" spans="1:10">
      <c r="A218" s="253" t="s">
        <v>1421</v>
      </c>
      <c r="B218" s="254"/>
      <c r="C218" s="259"/>
      <c r="D218" s="258"/>
      <c r="E218" s="260"/>
      <c r="F218" s="262"/>
      <c r="G218" s="258"/>
      <c r="H218" s="260">
        <v>0</v>
      </c>
      <c r="I218" s="262"/>
      <c r="J218" s="258"/>
    </row>
    <row r="219" s="241" customFormat="1" ht="18" customHeight="1" spans="1:10">
      <c r="A219" s="253" t="s">
        <v>1422</v>
      </c>
      <c r="B219" s="254"/>
      <c r="C219" s="259"/>
      <c r="D219" s="258"/>
      <c r="E219" s="260"/>
      <c r="F219" s="262"/>
      <c r="G219" s="258"/>
      <c r="H219" s="260">
        <v>0</v>
      </c>
      <c r="I219" s="262"/>
      <c r="J219" s="258"/>
    </row>
    <row r="220" s="241" customFormat="1" ht="18" customHeight="1" spans="1:10">
      <c r="A220" s="253" t="s">
        <v>1423</v>
      </c>
      <c r="B220" s="254"/>
      <c r="C220" s="259"/>
      <c r="D220" s="258"/>
      <c r="E220" s="260"/>
      <c r="F220" s="262"/>
      <c r="G220" s="258"/>
      <c r="H220" s="260">
        <v>0</v>
      </c>
      <c r="I220" s="262"/>
      <c r="J220" s="258"/>
    </row>
    <row r="221" s="241" customFormat="1" ht="18" customHeight="1" spans="1:10">
      <c r="A221" s="253" t="s">
        <v>1424</v>
      </c>
      <c r="B221" s="254"/>
      <c r="C221" s="259"/>
      <c r="D221" s="258"/>
      <c r="E221" s="260"/>
      <c r="F221" s="262">
        <f t="shared" ref="F221:F225" si="20">C221-E221</f>
        <v>0</v>
      </c>
      <c r="G221" s="258"/>
      <c r="H221" s="260">
        <f>H222</f>
        <v>0</v>
      </c>
      <c r="I221" s="262">
        <f t="shared" ref="I221:I225" si="21">H221-B221</f>
        <v>0</v>
      </c>
      <c r="J221" s="258"/>
    </row>
    <row r="222" s="241" customFormat="1" ht="18" customHeight="1" spans="1:10">
      <c r="A222" s="253" t="s">
        <v>1425</v>
      </c>
      <c r="B222" s="254"/>
      <c r="C222" s="259"/>
      <c r="D222" s="258"/>
      <c r="E222" s="260"/>
      <c r="F222" s="262"/>
      <c r="G222" s="258"/>
      <c r="H222" s="260"/>
      <c r="I222" s="262"/>
      <c r="J222" s="258"/>
    </row>
    <row r="223" s="241" customFormat="1" ht="18" customHeight="1" spans="1:10">
      <c r="A223" s="253" t="s">
        <v>1426</v>
      </c>
      <c r="B223" s="254"/>
      <c r="C223" s="259"/>
      <c r="D223" s="258"/>
      <c r="E223" s="260"/>
      <c r="F223" s="262">
        <f t="shared" si="20"/>
        <v>0</v>
      </c>
      <c r="G223" s="258"/>
      <c r="H223" s="260">
        <f>H224</f>
        <v>0</v>
      </c>
      <c r="I223" s="262">
        <f t="shared" si="21"/>
        <v>0</v>
      </c>
      <c r="J223" s="258"/>
    </row>
    <row r="224" s="241" customFormat="1" ht="18" customHeight="1" spans="1:10">
      <c r="A224" s="253" t="s">
        <v>1427</v>
      </c>
      <c r="B224" s="254"/>
      <c r="C224" s="259"/>
      <c r="D224" s="258"/>
      <c r="E224" s="260"/>
      <c r="F224" s="262"/>
      <c r="G224" s="258"/>
      <c r="H224" s="260"/>
      <c r="I224" s="262"/>
      <c r="J224" s="258"/>
    </row>
    <row r="225" s="241" customFormat="1" ht="18" customHeight="1" spans="1:10">
      <c r="A225" s="253" t="s">
        <v>1428</v>
      </c>
      <c r="B225" s="254">
        <v>1490</v>
      </c>
      <c r="C225" s="254">
        <v>1560</v>
      </c>
      <c r="D225" s="258">
        <f>C225/B225*100</f>
        <v>104.697986577181</v>
      </c>
      <c r="E225" s="260">
        <v>1128</v>
      </c>
      <c r="F225" s="262">
        <f t="shared" si="20"/>
        <v>432</v>
      </c>
      <c r="G225" s="258">
        <f>F225/E225*100</f>
        <v>38.2978723404255</v>
      </c>
      <c r="H225" s="260">
        <f>SUM(H226:H235)</f>
        <v>4014.4347</v>
      </c>
      <c r="I225" s="262">
        <f t="shared" si="21"/>
        <v>2524.4347</v>
      </c>
      <c r="J225" s="258">
        <f>I225/B225*100</f>
        <v>169.425147651007</v>
      </c>
    </row>
    <row r="226" s="241" customFormat="1" ht="18" customHeight="1" spans="1:10">
      <c r="A226" s="253" t="s">
        <v>1429</v>
      </c>
      <c r="B226" s="254"/>
      <c r="C226" s="259"/>
      <c r="D226" s="258"/>
      <c r="E226" s="260"/>
      <c r="F226" s="262"/>
      <c r="G226" s="258"/>
      <c r="H226" s="260">
        <v>3202.88</v>
      </c>
      <c r="I226" s="262"/>
      <c r="J226" s="258"/>
    </row>
    <row r="227" s="241" customFormat="1" ht="18" customHeight="1" spans="1:10">
      <c r="A227" s="253" t="s">
        <v>1430</v>
      </c>
      <c r="B227" s="254"/>
      <c r="C227" s="259"/>
      <c r="D227" s="258"/>
      <c r="E227" s="260"/>
      <c r="F227" s="262"/>
      <c r="G227" s="258"/>
      <c r="H227" s="260">
        <v>811.5547</v>
      </c>
      <c r="I227" s="262"/>
      <c r="J227" s="258"/>
    </row>
    <row r="228" s="241" customFormat="1" ht="18" customHeight="1" spans="1:10">
      <c r="A228" s="253" t="s">
        <v>1431</v>
      </c>
      <c r="B228" s="254"/>
      <c r="C228" s="259"/>
      <c r="D228" s="258"/>
      <c r="E228" s="260"/>
      <c r="F228" s="262"/>
      <c r="G228" s="258"/>
      <c r="H228" s="260">
        <v>0</v>
      </c>
      <c r="I228" s="262"/>
      <c r="J228" s="258"/>
    </row>
    <row r="229" s="241" customFormat="1" ht="18" customHeight="1" spans="1:10">
      <c r="A229" s="253" t="s">
        <v>1432</v>
      </c>
      <c r="B229" s="254"/>
      <c r="C229" s="259"/>
      <c r="D229" s="258"/>
      <c r="E229" s="260"/>
      <c r="F229" s="262"/>
      <c r="G229" s="258"/>
      <c r="H229" s="260">
        <v>0</v>
      </c>
      <c r="I229" s="262"/>
      <c r="J229" s="258"/>
    </row>
    <row r="230" s="241" customFormat="1" ht="18" customHeight="1" spans="1:10">
      <c r="A230" s="253" t="s">
        <v>1433</v>
      </c>
      <c r="B230" s="254"/>
      <c r="C230" s="259"/>
      <c r="D230" s="258"/>
      <c r="E230" s="260"/>
      <c r="F230" s="262"/>
      <c r="G230" s="258"/>
      <c r="H230" s="260">
        <v>0</v>
      </c>
      <c r="I230" s="262"/>
      <c r="J230" s="258"/>
    </row>
    <row r="231" s="241" customFormat="1" ht="18" customHeight="1" spans="1:10">
      <c r="A231" s="253" t="s">
        <v>1434</v>
      </c>
      <c r="B231" s="254"/>
      <c r="C231" s="259"/>
      <c r="D231" s="258"/>
      <c r="E231" s="260"/>
      <c r="F231" s="262"/>
      <c r="G231" s="258"/>
      <c r="H231" s="260">
        <v>0</v>
      </c>
      <c r="I231" s="262"/>
      <c r="J231" s="258"/>
    </row>
    <row r="232" s="241" customFormat="1" ht="18" customHeight="1" spans="1:10">
      <c r="A232" s="253" t="s">
        <v>1435</v>
      </c>
      <c r="B232" s="254"/>
      <c r="C232" s="259"/>
      <c r="D232" s="258"/>
      <c r="E232" s="260"/>
      <c r="F232" s="262"/>
      <c r="G232" s="258"/>
      <c r="H232" s="260">
        <v>0</v>
      </c>
      <c r="I232" s="262"/>
      <c r="J232" s="258"/>
    </row>
    <row r="233" s="241" customFormat="1" ht="18" customHeight="1" spans="1:10">
      <c r="A233" s="253" t="s">
        <v>1436</v>
      </c>
      <c r="B233" s="254"/>
      <c r="C233" s="259"/>
      <c r="D233" s="258"/>
      <c r="E233" s="260"/>
      <c r="F233" s="262"/>
      <c r="G233" s="258"/>
      <c r="H233" s="260">
        <v>0</v>
      </c>
      <c r="I233" s="262"/>
      <c r="J233" s="258"/>
    </row>
    <row r="234" s="241" customFormat="1" ht="18" customHeight="1" spans="1:10">
      <c r="A234" s="253" t="s">
        <v>1437</v>
      </c>
      <c r="B234" s="254"/>
      <c r="C234" s="259"/>
      <c r="D234" s="258"/>
      <c r="E234" s="260"/>
      <c r="F234" s="262"/>
      <c r="G234" s="258"/>
      <c r="H234" s="260">
        <v>0</v>
      </c>
      <c r="I234" s="262"/>
      <c r="J234" s="258"/>
    </row>
    <row r="235" s="241" customFormat="1" ht="18" customHeight="1" spans="1:10">
      <c r="A235" s="253" t="s">
        <v>1438</v>
      </c>
      <c r="B235" s="254"/>
      <c r="C235" s="259"/>
      <c r="D235" s="258"/>
      <c r="E235" s="260"/>
      <c r="F235" s="262"/>
      <c r="G235" s="258"/>
      <c r="H235" s="260">
        <v>0</v>
      </c>
      <c r="I235" s="262"/>
      <c r="J235" s="258"/>
    </row>
    <row r="236" s="241" customFormat="1" ht="18" customHeight="1" spans="1:10">
      <c r="A236" s="253" t="s">
        <v>1439</v>
      </c>
      <c r="B236" s="254"/>
      <c r="C236" s="260">
        <v>1325.47563</v>
      </c>
      <c r="D236" s="258"/>
      <c r="E236" s="260">
        <v>1310</v>
      </c>
      <c r="F236" s="262">
        <f t="shared" ref="F236:F239" si="22">C236-E236</f>
        <v>15.4756299999999</v>
      </c>
      <c r="G236" s="258"/>
      <c r="H236" s="260">
        <f>H237</f>
        <v>0</v>
      </c>
      <c r="I236" s="262">
        <f t="shared" ref="I236:I239" si="23">H236-B236</f>
        <v>0</v>
      </c>
      <c r="J236" s="258"/>
    </row>
    <row r="237" s="241" customFormat="1" ht="18" customHeight="1" spans="1:10">
      <c r="A237" s="253" t="s">
        <v>1440</v>
      </c>
      <c r="B237" s="254"/>
      <c r="C237" s="259"/>
      <c r="D237" s="258"/>
      <c r="E237" s="260"/>
      <c r="F237" s="262"/>
      <c r="G237" s="258"/>
      <c r="H237" s="260"/>
      <c r="I237" s="262"/>
      <c r="J237" s="258"/>
    </row>
    <row r="238" s="242" customFormat="1" ht="18" customHeight="1" spans="1:12">
      <c r="A238" s="251" t="s">
        <v>1441</v>
      </c>
      <c r="B238" s="252">
        <f>B239</f>
        <v>61557.3</v>
      </c>
      <c r="C238" s="252">
        <f>C239</f>
        <v>51885</v>
      </c>
      <c r="D238" s="258">
        <f>C238/B238*100</f>
        <v>84.2873225433864</v>
      </c>
      <c r="E238" s="269">
        <f>E239</f>
        <v>40908</v>
      </c>
      <c r="F238" s="262">
        <f t="shared" si="22"/>
        <v>10977</v>
      </c>
      <c r="G238" s="258">
        <f>F238/E238*100</f>
        <v>26.833382223526</v>
      </c>
      <c r="H238" s="262">
        <f>H239</f>
        <v>8929</v>
      </c>
      <c r="I238" s="262">
        <f t="shared" si="23"/>
        <v>-52628.3</v>
      </c>
      <c r="J238" s="258">
        <f>I238/B238*100</f>
        <v>-85.4948153996358</v>
      </c>
      <c r="K238" s="241"/>
      <c r="L238" s="242">
        <f>K238-H238</f>
        <v>-8929</v>
      </c>
    </row>
    <row r="239" s="241" customFormat="1" ht="18" customHeight="1" spans="1:10">
      <c r="A239" s="253" t="s">
        <v>1442</v>
      </c>
      <c r="B239" s="254">
        <v>61557.3</v>
      </c>
      <c r="C239" s="254">
        <v>51885</v>
      </c>
      <c r="D239" s="258">
        <f>C239/B239*100</f>
        <v>84.2873225433864</v>
      </c>
      <c r="E239" s="260">
        <v>40908</v>
      </c>
      <c r="F239" s="262">
        <f t="shared" si="22"/>
        <v>10977</v>
      </c>
      <c r="G239" s="258">
        <f>F239/E239*100</f>
        <v>26.833382223526</v>
      </c>
      <c r="H239" s="260">
        <f>SUM(H240:H253)</f>
        <v>8929</v>
      </c>
      <c r="I239" s="262">
        <f t="shared" si="23"/>
        <v>-52628.3</v>
      </c>
      <c r="J239" s="258">
        <f>I239/B239*100</f>
        <v>-85.4948153996358</v>
      </c>
    </row>
    <row r="240" s="241" customFormat="1" ht="18" customHeight="1" spans="1:10">
      <c r="A240" s="253" t="s">
        <v>1443</v>
      </c>
      <c r="B240" s="254"/>
      <c r="C240" s="259"/>
      <c r="D240" s="258"/>
      <c r="E240" s="260"/>
      <c r="F240" s="262"/>
      <c r="G240" s="258"/>
      <c r="H240" s="260">
        <v>0</v>
      </c>
      <c r="I240" s="262"/>
      <c r="J240" s="258"/>
    </row>
    <row r="241" s="241" customFormat="1" ht="18" customHeight="1" spans="1:10">
      <c r="A241" s="253" t="s">
        <v>1444</v>
      </c>
      <c r="B241" s="254"/>
      <c r="C241" s="259"/>
      <c r="D241" s="258"/>
      <c r="E241" s="260"/>
      <c r="F241" s="262"/>
      <c r="G241" s="258"/>
      <c r="H241" s="260">
        <v>0</v>
      </c>
      <c r="I241" s="262"/>
      <c r="J241" s="258"/>
    </row>
    <row r="242" s="241" customFormat="1" ht="18" customHeight="1" spans="1:10">
      <c r="A242" s="253" t="s">
        <v>1445</v>
      </c>
      <c r="B242" s="254"/>
      <c r="C242" s="259"/>
      <c r="D242" s="258"/>
      <c r="E242" s="260"/>
      <c r="F242" s="262"/>
      <c r="G242" s="258"/>
      <c r="H242" s="260">
        <v>0</v>
      </c>
      <c r="I242" s="262"/>
      <c r="J242" s="258"/>
    </row>
    <row r="243" s="241" customFormat="1" ht="18" customHeight="1" spans="1:10">
      <c r="A243" s="253" t="s">
        <v>1446</v>
      </c>
      <c r="B243" s="254"/>
      <c r="C243" s="259"/>
      <c r="D243" s="258"/>
      <c r="E243" s="260"/>
      <c r="F243" s="262"/>
      <c r="G243" s="258"/>
      <c r="H243" s="260">
        <v>0</v>
      </c>
      <c r="I243" s="262"/>
      <c r="J243" s="258"/>
    </row>
    <row r="244" s="241" customFormat="1" ht="18" customHeight="1" spans="1:10">
      <c r="A244" s="253" t="s">
        <v>1447</v>
      </c>
      <c r="B244" s="254"/>
      <c r="C244" s="259"/>
      <c r="D244" s="258"/>
      <c r="E244" s="260"/>
      <c r="F244" s="262"/>
      <c r="G244" s="258"/>
      <c r="H244" s="260">
        <v>0</v>
      </c>
      <c r="I244" s="262"/>
      <c r="J244" s="258"/>
    </row>
    <row r="245" s="241" customFormat="1" ht="18" customHeight="1" spans="1:10">
      <c r="A245" s="253" t="s">
        <v>1448</v>
      </c>
      <c r="B245" s="254"/>
      <c r="C245" s="259"/>
      <c r="D245" s="258"/>
      <c r="E245" s="260"/>
      <c r="F245" s="262"/>
      <c r="G245" s="258"/>
      <c r="H245" s="260">
        <v>0</v>
      </c>
      <c r="I245" s="262"/>
      <c r="J245" s="258"/>
    </row>
    <row r="246" s="241" customFormat="1" ht="18" customHeight="1" spans="1:10">
      <c r="A246" s="253" t="s">
        <v>1449</v>
      </c>
      <c r="B246" s="254"/>
      <c r="C246" s="259"/>
      <c r="D246" s="258"/>
      <c r="E246" s="260"/>
      <c r="F246" s="262"/>
      <c r="G246" s="258"/>
      <c r="H246" s="260">
        <v>0</v>
      </c>
      <c r="I246" s="262"/>
      <c r="J246" s="258"/>
    </row>
    <row r="247" s="241" customFormat="1" ht="18" customHeight="1" spans="1:10">
      <c r="A247" s="253" t="s">
        <v>1450</v>
      </c>
      <c r="B247" s="254"/>
      <c r="C247" s="259"/>
      <c r="D247" s="258"/>
      <c r="E247" s="260"/>
      <c r="F247" s="262"/>
      <c r="G247" s="258"/>
      <c r="H247" s="260">
        <v>0</v>
      </c>
      <c r="I247" s="262"/>
      <c r="J247" s="258"/>
    </row>
    <row r="248" s="241" customFormat="1" ht="18" customHeight="1" spans="1:10">
      <c r="A248" s="253" t="s">
        <v>1451</v>
      </c>
      <c r="B248" s="254"/>
      <c r="C248" s="259"/>
      <c r="D248" s="258"/>
      <c r="E248" s="260"/>
      <c r="F248" s="262"/>
      <c r="G248" s="258"/>
      <c r="H248" s="260">
        <v>0</v>
      </c>
      <c r="I248" s="262"/>
      <c r="J248" s="258"/>
    </row>
    <row r="249" s="241" customFormat="1" ht="18" customHeight="1" spans="1:10">
      <c r="A249" s="253" t="s">
        <v>1452</v>
      </c>
      <c r="B249" s="254"/>
      <c r="C249" s="259"/>
      <c r="D249" s="258"/>
      <c r="E249" s="260"/>
      <c r="F249" s="262"/>
      <c r="G249" s="258"/>
      <c r="H249" s="260">
        <v>0</v>
      </c>
      <c r="I249" s="262"/>
      <c r="J249" s="258"/>
    </row>
    <row r="250" s="241" customFormat="1" ht="18" customHeight="1" spans="1:10">
      <c r="A250" s="253" t="s">
        <v>1453</v>
      </c>
      <c r="B250" s="254"/>
      <c r="C250" s="259"/>
      <c r="D250" s="258"/>
      <c r="E250" s="260"/>
      <c r="F250" s="262"/>
      <c r="G250" s="258"/>
      <c r="H250" s="260">
        <v>0</v>
      </c>
      <c r="I250" s="262"/>
      <c r="J250" s="258"/>
    </row>
    <row r="251" s="241" customFormat="1" ht="18" customHeight="1" spans="1:10">
      <c r="A251" s="253" t="s">
        <v>1454</v>
      </c>
      <c r="B251" s="254"/>
      <c r="C251" s="259"/>
      <c r="D251" s="258"/>
      <c r="E251" s="260"/>
      <c r="F251" s="262"/>
      <c r="G251" s="258"/>
      <c r="H251" s="260">
        <v>0</v>
      </c>
      <c r="I251" s="262"/>
      <c r="J251" s="258"/>
    </row>
    <row r="252" s="241" customFormat="1" ht="18" customHeight="1" spans="1:10">
      <c r="A252" s="253" t="s">
        <v>1455</v>
      </c>
      <c r="B252" s="254"/>
      <c r="C252" s="259"/>
      <c r="D252" s="258"/>
      <c r="E252" s="260"/>
      <c r="F252" s="262"/>
      <c r="G252" s="258"/>
      <c r="H252" s="260">
        <v>2596</v>
      </c>
      <c r="I252" s="262"/>
      <c r="J252" s="258"/>
    </row>
    <row r="253" s="241" customFormat="1" ht="18" customHeight="1" spans="1:10">
      <c r="A253" s="253" t="s">
        <v>1456</v>
      </c>
      <c r="B253" s="254"/>
      <c r="C253" s="259"/>
      <c r="D253" s="258"/>
      <c r="E253" s="260"/>
      <c r="F253" s="262"/>
      <c r="G253" s="258"/>
      <c r="H253" s="260">
        <v>6333</v>
      </c>
      <c r="I253" s="262"/>
      <c r="J253" s="258"/>
    </row>
    <row r="254" s="242" customFormat="1" ht="18" customHeight="1" spans="1:11">
      <c r="A254" s="251" t="s">
        <v>1457</v>
      </c>
      <c r="B254" s="252">
        <f>B255</f>
        <v>380.3</v>
      </c>
      <c r="C254" s="252">
        <f>C255</f>
        <v>6</v>
      </c>
      <c r="D254" s="258">
        <f>C254/B254*100</f>
        <v>1.57770181435709</v>
      </c>
      <c r="E254" s="269">
        <f>E255</f>
        <v>193</v>
      </c>
      <c r="F254" s="262">
        <f>C254-E254</f>
        <v>-187</v>
      </c>
      <c r="G254" s="258">
        <f>F254/E254*100</f>
        <v>-96.8911917098446</v>
      </c>
      <c r="H254" s="262">
        <f>H255</f>
        <v>200</v>
      </c>
      <c r="I254" s="262">
        <f>H254-B254</f>
        <v>-180.3</v>
      </c>
      <c r="J254" s="258">
        <f>I254/B254*100</f>
        <v>-47.4099395214305</v>
      </c>
      <c r="K254" s="241"/>
    </row>
    <row r="255" s="242" customFormat="1" ht="18" customHeight="1" spans="1:11">
      <c r="A255" s="253" t="s">
        <v>1458</v>
      </c>
      <c r="B255" s="254">
        <v>380.3</v>
      </c>
      <c r="C255" s="254">
        <v>6</v>
      </c>
      <c r="D255" s="258">
        <f>C255/B255*100</f>
        <v>1.57770181435709</v>
      </c>
      <c r="E255" s="260">
        <v>193</v>
      </c>
      <c r="F255" s="262">
        <f>C255-E255</f>
        <v>-187</v>
      </c>
      <c r="G255" s="258">
        <f>F255/E255*100</f>
        <v>-96.8911917098446</v>
      </c>
      <c r="H255" s="260">
        <f>SUM(H256:H269)</f>
        <v>200</v>
      </c>
      <c r="I255" s="262">
        <f>H255-B255</f>
        <v>-180.3</v>
      </c>
      <c r="J255" s="258">
        <f>I255/B255*100</f>
        <v>-47.4099395214305</v>
      </c>
      <c r="K255" s="241"/>
    </row>
    <row r="256" s="242" customFormat="1" ht="18" customHeight="1" spans="1:11">
      <c r="A256" s="253" t="s">
        <v>1459</v>
      </c>
      <c r="B256" s="254"/>
      <c r="C256" s="259"/>
      <c r="D256" s="258"/>
      <c r="E256" s="260"/>
      <c r="F256" s="262"/>
      <c r="G256" s="258"/>
      <c r="H256" s="260"/>
      <c r="I256" s="262"/>
      <c r="J256" s="258"/>
      <c r="K256" s="241"/>
    </row>
    <row r="257" s="242" customFormat="1" ht="18" customHeight="1" spans="1:11">
      <c r="A257" s="253" t="s">
        <v>1460</v>
      </c>
      <c r="B257" s="254"/>
      <c r="C257" s="259"/>
      <c r="D257" s="258"/>
      <c r="E257" s="260"/>
      <c r="F257" s="262"/>
      <c r="G257" s="258"/>
      <c r="H257" s="260">
        <v>200</v>
      </c>
      <c r="I257" s="262"/>
      <c r="J257" s="258"/>
      <c r="K257" s="241"/>
    </row>
    <row r="258" s="242" customFormat="1" ht="18" customHeight="1" spans="1:11">
      <c r="A258" s="253" t="s">
        <v>1461</v>
      </c>
      <c r="B258" s="254"/>
      <c r="C258" s="259"/>
      <c r="D258" s="258"/>
      <c r="E258" s="260"/>
      <c r="F258" s="262"/>
      <c r="G258" s="258"/>
      <c r="H258" s="260"/>
      <c r="I258" s="262"/>
      <c r="J258" s="258"/>
      <c r="K258" s="241"/>
    </row>
    <row r="259" s="242" customFormat="1" ht="18" customHeight="1" spans="1:11">
      <c r="A259" s="253" t="s">
        <v>1462</v>
      </c>
      <c r="B259" s="254"/>
      <c r="C259" s="259"/>
      <c r="D259" s="258"/>
      <c r="E259" s="260"/>
      <c r="F259" s="262"/>
      <c r="G259" s="258"/>
      <c r="H259" s="260"/>
      <c r="I259" s="262"/>
      <c r="J259" s="258"/>
      <c r="K259" s="241"/>
    </row>
    <row r="260" s="242" customFormat="1" ht="18" customHeight="1" spans="1:11">
      <c r="A260" s="253" t="s">
        <v>1463</v>
      </c>
      <c r="B260" s="254"/>
      <c r="C260" s="259"/>
      <c r="D260" s="258"/>
      <c r="E260" s="260"/>
      <c r="F260" s="262"/>
      <c r="G260" s="258"/>
      <c r="H260" s="260"/>
      <c r="I260" s="262"/>
      <c r="J260" s="258"/>
      <c r="K260" s="241"/>
    </row>
    <row r="261" s="242" customFormat="1" ht="18" customHeight="1" spans="1:11">
      <c r="A261" s="253" t="s">
        <v>1464</v>
      </c>
      <c r="B261" s="254"/>
      <c r="C261" s="259"/>
      <c r="D261" s="258"/>
      <c r="E261" s="260"/>
      <c r="F261" s="262"/>
      <c r="G261" s="258"/>
      <c r="H261" s="260"/>
      <c r="I261" s="262"/>
      <c r="J261" s="258"/>
      <c r="K261" s="241"/>
    </row>
    <row r="262" s="242" customFormat="1" ht="18" customHeight="1" spans="1:11">
      <c r="A262" s="253" t="s">
        <v>1465</v>
      </c>
      <c r="B262" s="254"/>
      <c r="C262" s="259"/>
      <c r="D262" s="258"/>
      <c r="E262" s="260"/>
      <c r="F262" s="262"/>
      <c r="G262" s="258"/>
      <c r="H262" s="260"/>
      <c r="I262" s="262"/>
      <c r="J262" s="258"/>
      <c r="K262" s="241"/>
    </row>
    <row r="263" s="242" customFormat="1" ht="18" customHeight="1" spans="1:11">
      <c r="A263" s="253" t="s">
        <v>1466</v>
      </c>
      <c r="B263" s="254"/>
      <c r="C263" s="259"/>
      <c r="D263" s="258"/>
      <c r="E263" s="260"/>
      <c r="F263" s="262"/>
      <c r="G263" s="258"/>
      <c r="H263" s="260"/>
      <c r="I263" s="262"/>
      <c r="J263" s="258"/>
      <c r="K263" s="241"/>
    </row>
    <row r="264" s="242" customFormat="1" ht="18" customHeight="1" spans="1:11">
      <c r="A264" s="253" t="s">
        <v>1467</v>
      </c>
      <c r="B264" s="254"/>
      <c r="C264" s="259"/>
      <c r="D264" s="258"/>
      <c r="E264" s="260"/>
      <c r="F264" s="262"/>
      <c r="G264" s="258"/>
      <c r="H264" s="260"/>
      <c r="I264" s="262"/>
      <c r="J264" s="258"/>
      <c r="K264" s="241"/>
    </row>
    <row r="265" s="242" customFormat="1" ht="18" customHeight="1" spans="1:11">
      <c r="A265" s="253" t="s">
        <v>1468</v>
      </c>
      <c r="B265" s="254"/>
      <c r="C265" s="259"/>
      <c r="D265" s="258"/>
      <c r="E265" s="260"/>
      <c r="F265" s="262"/>
      <c r="G265" s="258"/>
      <c r="H265" s="260"/>
      <c r="I265" s="262"/>
      <c r="J265" s="258"/>
      <c r="K265" s="241"/>
    </row>
    <row r="266" s="242" customFormat="1" ht="18" customHeight="1" spans="1:11">
      <c r="A266" s="253" t="s">
        <v>1469</v>
      </c>
      <c r="B266" s="254"/>
      <c r="C266" s="259"/>
      <c r="D266" s="258"/>
      <c r="E266" s="260"/>
      <c r="F266" s="262"/>
      <c r="G266" s="258"/>
      <c r="H266" s="260"/>
      <c r="I266" s="262"/>
      <c r="J266" s="258"/>
      <c r="K266" s="241"/>
    </row>
    <row r="267" s="242" customFormat="1" ht="18" customHeight="1" spans="1:11">
      <c r="A267" s="253" t="s">
        <v>1470</v>
      </c>
      <c r="B267" s="254"/>
      <c r="C267" s="259"/>
      <c r="D267" s="258"/>
      <c r="E267" s="260"/>
      <c r="F267" s="262"/>
      <c r="G267" s="258"/>
      <c r="H267" s="260"/>
      <c r="I267" s="262"/>
      <c r="J267" s="258"/>
      <c r="K267" s="241"/>
    </row>
    <row r="268" s="242" customFormat="1" ht="18" customHeight="1" spans="1:11">
      <c r="A268" s="253" t="s">
        <v>1471</v>
      </c>
      <c r="B268" s="254"/>
      <c r="C268" s="259"/>
      <c r="D268" s="258"/>
      <c r="E268" s="260"/>
      <c r="F268" s="262"/>
      <c r="G268" s="258"/>
      <c r="H268" s="260"/>
      <c r="I268" s="262"/>
      <c r="J268" s="258"/>
      <c r="K268" s="241"/>
    </row>
    <row r="269" s="242" customFormat="1" ht="18" customHeight="1" spans="1:11">
      <c r="A269" s="253" t="s">
        <v>1472</v>
      </c>
      <c r="B269" s="254"/>
      <c r="C269" s="259"/>
      <c r="D269" s="258"/>
      <c r="E269" s="260"/>
      <c r="F269" s="262"/>
      <c r="G269" s="258"/>
      <c r="H269" s="260"/>
      <c r="I269" s="262"/>
      <c r="J269" s="258"/>
      <c r="K269" s="241"/>
    </row>
    <row r="270" s="241" customFormat="1" ht="18" customHeight="1" spans="1:10">
      <c r="A270" s="270" t="s">
        <v>1473</v>
      </c>
      <c r="B270" s="262">
        <f>B7+B14+B17+B40+B45+B52+B63+B124+B149+B180+B185+B190+B194+B198+B202+B207+B238+B254</f>
        <v>402241.6</v>
      </c>
      <c r="C270" s="262">
        <f>C7+C14+C17+C40+C45+C52+C63+C124+C149+C180+C185+C190+C194+C198+C202+C207+C238+C254</f>
        <v>378856.087045</v>
      </c>
      <c r="D270" s="258">
        <f>C270/B270*100</f>
        <v>94.1862022836524</v>
      </c>
      <c r="E270" s="278">
        <f>E7+E14+E17+E40+E45+E52+E63+E124+E149+E180+E185+E190+E194+E198+E202+E207+E238+E254</f>
        <v>230769</v>
      </c>
      <c r="F270" s="262">
        <f>C270-E270</f>
        <v>148087.087045</v>
      </c>
      <c r="G270" s="258">
        <f>F270/E270*100</f>
        <v>64.1711352239686</v>
      </c>
      <c r="H270" s="262">
        <f>H7+H14+H17+H40+H45+H52+H63+H124+H149+H180+H185+H190+H194+H198+H202+H207+H238+H254-0.3</f>
        <v>191508.279896</v>
      </c>
      <c r="I270" s="262">
        <f>H270-B270</f>
        <v>-210733.320104</v>
      </c>
      <c r="J270" s="258">
        <f>I270/B270*100</f>
        <v>-52.3897379346144</v>
      </c>
    </row>
    <row r="271" s="241" customFormat="1" ht="18" customHeight="1" spans="1:10">
      <c r="A271" s="271" t="s">
        <v>1038</v>
      </c>
      <c r="B271" s="262">
        <f>SUM(B272:B276)</f>
        <v>72238</v>
      </c>
      <c r="C271" s="262">
        <f>SUM(C272:C276)</f>
        <v>163110.74</v>
      </c>
      <c r="D271" s="259"/>
      <c r="E271" s="259"/>
      <c r="F271" s="259"/>
      <c r="G271" s="259"/>
      <c r="H271" s="262">
        <f>SUM(H272:H276)</f>
        <v>43362</v>
      </c>
      <c r="I271" s="260"/>
      <c r="J271" s="260"/>
    </row>
    <row r="272" s="241" customFormat="1" ht="18" customHeight="1" spans="1:10">
      <c r="A272" s="146" t="s">
        <v>1474</v>
      </c>
      <c r="B272" s="272">
        <v>2238</v>
      </c>
      <c r="C272" s="260">
        <f>6094+66718-158+4338-14509</f>
        <v>62483</v>
      </c>
      <c r="D272" s="259"/>
      <c r="E272" s="259"/>
      <c r="F272" s="259"/>
      <c r="G272" s="259"/>
      <c r="H272" s="260">
        <v>1462</v>
      </c>
      <c r="I272" s="260"/>
      <c r="J272" s="260"/>
    </row>
    <row r="273" s="241" customFormat="1" ht="18" customHeight="1" spans="1:10">
      <c r="A273" s="146" t="s">
        <v>1475</v>
      </c>
      <c r="B273" s="272"/>
      <c r="C273" s="259"/>
      <c r="D273" s="259"/>
      <c r="E273" s="259"/>
      <c r="F273" s="259"/>
      <c r="G273" s="259"/>
      <c r="H273" s="260"/>
      <c r="I273" s="260"/>
      <c r="J273" s="260"/>
    </row>
    <row r="274" s="241" customFormat="1" ht="18" customHeight="1" spans="1:10">
      <c r="A274" s="146" t="s">
        <v>1476</v>
      </c>
      <c r="B274" s="272">
        <v>70000</v>
      </c>
      <c r="C274" s="273"/>
      <c r="D274" s="259"/>
      <c r="E274" s="259"/>
      <c r="F274" s="259"/>
      <c r="G274" s="259"/>
      <c r="H274" s="260">
        <v>41900</v>
      </c>
      <c r="I274" s="260"/>
      <c r="J274" s="260"/>
    </row>
    <row r="275" s="241" customFormat="1" ht="18" customHeight="1" spans="1:10">
      <c r="A275" s="146" t="s">
        <v>1477</v>
      </c>
      <c r="B275" s="272"/>
      <c r="C275" s="259"/>
      <c r="D275" s="259"/>
      <c r="E275" s="259"/>
      <c r="F275" s="259"/>
      <c r="G275" s="259"/>
      <c r="H275" s="260"/>
      <c r="I275" s="260"/>
      <c r="J275" s="260"/>
    </row>
    <row r="276" s="241" customFormat="1" ht="18" customHeight="1" spans="1:10">
      <c r="A276" s="146" t="s">
        <v>1478</v>
      </c>
      <c r="B276" s="272"/>
      <c r="C276" s="272">
        <v>100627.74</v>
      </c>
      <c r="D276" s="259"/>
      <c r="E276" s="259"/>
      <c r="F276" s="259"/>
      <c r="G276" s="259"/>
      <c r="H276" s="260"/>
      <c r="I276" s="260"/>
      <c r="J276" s="260"/>
    </row>
    <row r="277" s="241" customFormat="1" ht="18" customHeight="1" spans="1:10">
      <c r="A277" s="271" t="s">
        <v>1049</v>
      </c>
      <c r="B277" s="262">
        <f>B278</f>
        <v>65076</v>
      </c>
      <c r="C277" s="262">
        <f>C278</f>
        <v>257493</v>
      </c>
      <c r="D277" s="259"/>
      <c r="E277" s="259"/>
      <c r="F277" s="259"/>
      <c r="G277" s="259"/>
      <c r="H277" s="262">
        <f>H278</f>
        <v>184581</v>
      </c>
      <c r="I277" s="260"/>
      <c r="J277" s="260"/>
    </row>
    <row r="278" s="241" customFormat="1" ht="18" customHeight="1" spans="1:10">
      <c r="A278" s="146" t="s">
        <v>1479</v>
      </c>
      <c r="B278" s="272">
        <v>65076</v>
      </c>
      <c r="C278" s="272">
        <v>257493</v>
      </c>
      <c r="D278" s="259"/>
      <c r="E278" s="259"/>
      <c r="F278" s="259"/>
      <c r="G278" s="259"/>
      <c r="H278" s="260">
        <v>184581</v>
      </c>
      <c r="I278" s="260"/>
      <c r="J278" s="260"/>
    </row>
    <row r="279" s="241" customFormat="1" ht="18" customHeight="1" spans="1:10">
      <c r="A279" s="274" t="s">
        <v>1050</v>
      </c>
      <c r="B279" s="262">
        <f>B270+B271+B277</f>
        <v>539555.6</v>
      </c>
      <c r="C279" s="262">
        <f>C270+C271+C277</f>
        <v>799459.827045</v>
      </c>
      <c r="D279" s="259"/>
      <c r="E279" s="279"/>
      <c r="F279" s="259"/>
      <c r="G279" s="259"/>
      <c r="H279" s="262">
        <f>H270+H271+H277+1</f>
        <v>419452.279896</v>
      </c>
      <c r="I279" s="260"/>
      <c r="J279" s="260"/>
    </row>
    <row r="280" spans="3:3">
      <c r="C280" s="275"/>
    </row>
    <row r="281" spans="3:8">
      <c r="C281" s="276">
        <f>'政府性基金收入表（市本级）'!C49-C279</f>
        <v>0.58684199990239</v>
      </c>
      <c r="D281" s="277">
        <f>D279-'政府性基金收入表（全市）'!D49</f>
        <v>0</v>
      </c>
      <c r="E281" s="277">
        <f>E279-'政府性基金收入表（全市）'!E49</f>
        <v>0</v>
      </c>
      <c r="F281" s="277">
        <f>F279-'政府性基金收入表（全市）'!F49</f>
        <v>0</v>
      </c>
      <c r="G281" s="277">
        <f>G279-'政府性基金收入表（全市）'!G49</f>
        <v>0</v>
      </c>
      <c r="H281" s="277"/>
    </row>
    <row r="282" spans="3:8">
      <c r="C282" s="276"/>
      <c r="D282" s="277"/>
      <c r="E282" s="277"/>
      <c r="F282" s="277"/>
      <c r="G282" s="277"/>
      <c r="H282" s="277"/>
    </row>
    <row r="283" spans="3:8">
      <c r="C283" s="276"/>
      <c r="D283" s="277"/>
      <c r="E283" s="277"/>
      <c r="F283" s="277"/>
      <c r="G283" s="277"/>
      <c r="H283" s="277"/>
    </row>
  </sheetData>
  <mergeCells count="11">
    <mergeCell ref="A2:J2"/>
    <mergeCell ref="C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629166666666667" right="0.786805555555556" top="0.786805555555556" bottom="0.786805555555556" header="0.313888888888889" footer="0.313888888888889"/>
  <pageSetup paperSize="9" scale="82" fitToHeight="0" orientation="landscape"/>
  <headerFooter>
    <oddFooter>&amp;C第 &amp;P 页，共 &amp;N 页</oddFooter>
  </headerFooter>
  <ignoredErrors>
    <ignoredError sqref="B271" unlocked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showGridLines="0" workbookViewId="0">
      <selection activeCell="I22" sqref="I22"/>
    </sheetView>
  </sheetViews>
  <sheetFormatPr defaultColWidth="8" defaultRowHeight="12.75" customHeight="1" outlineLevelCol="5"/>
  <cols>
    <col min="1" max="1" width="23.75" style="228" customWidth="1"/>
    <col min="2" max="2" width="25.75" style="228" customWidth="1"/>
    <col min="3" max="3" width="21" style="228" customWidth="1"/>
    <col min="4" max="4" width="21.625" style="228" customWidth="1"/>
    <col min="5" max="5" width="23.875" style="228" customWidth="1"/>
    <col min="6" max="6" width="26.75" style="228" customWidth="1"/>
    <col min="7" max="7" width="7.875" style="228" customWidth="1"/>
    <col min="8" max="10" width="8" style="228" customWidth="1"/>
    <col min="11" max="16384" width="8" style="100"/>
  </cols>
  <sheetData>
    <row r="1" s="228" customFormat="1" ht="15" customHeight="1" spans="1:6">
      <c r="A1" s="229"/>
      <c r="B1" s="229"/>
      <c r="C1" s="229"/>
      <c r="D1" s="229"/>
      <c r="E1" s="229"/>
      <c r="F1" s="229"/>
    </row>
    <row r="2" s="228" customFormat="1" ht="27" customHeight="1" spans="1:6">
      <c r="A2" s="230" t="s">
        <v>1482</v>
      </c>
      <c r="B2" s="230"/>
      <c r="C2" s="230"/>
      <c r="D2" s="230"/>
      <c r="E2" s="230"/>
      <c r="F2" s="230"/>
    </row>
    <row r="3" s="228" customFormat="1" ht="15" customHeight="1" spans="1:6">
      <c r="A3" s="229"/>
      <c r="B3" s="229"/>
      <c r="C3" s="229"/>
      <c r="D3" s="229"/>
      <c r="E3" s="229"/>
      <c r="F3" s="239" t="s">
        <v>1483</v>
      </c>
    </row>
    <row r="4" s="228" customFormat="1" ht="15" customHeight="1" spans="1:6">
      <c r="A4" s="231" t="s">
        <v>1484</v>
      </c>
      <c r="B4" s="231" t="s">
        <v>1057</v>
      </c>
      <c r="C4" s="232" t="s">
        <v>44</v>
      </c>
      <c r="D4" s="232"/>
      <c r="E4" s="232"/>
      <c r="F4" s="232" t="s">
        <v>1485</v>
      </c>
    </row>
    <row r="5" s="228" customFormat="1" ht="22.5" customHeight="1" spans="1:6">
      <c r="A5" s="233"/>
      <c r="B5" s="233"/>
      <c r="C5" s="232" t="s">
        <v>1486</v>
      </c>
      <c r="D5" s="234" t="s">
        <v>1487</v>
      </c>
      <c r="E5" s="234" t="s">
        <v>1488</v>
      </c>
      <c r="F5" s="232"/>
    </row>
    <row r="6" s="228" customFormat="1" ht="22.5" customHeight="1" spans="1:6">
      <c r="A6" s="235" t="s">
        <v>1060</v>
      </c>
      <c r="B6" s="235" t="s">
        <v>1061</v>
      </c>
      <c r="C6" s="108">
        <v>109462.611608</v>
      </c>
      <c r="D6" s="108"/>
      <c r="E6" s="108">
        <v>109462.611608</v>
      </c>
      <c r="F6" s="110" t="s">
        <v>1060</v>
      </c>
    </row>
    <row r="7" s="228" customFormat="1" ht="22.5" customHeight="1" spans="1:6">
      <c r="A7" s="235" t="s">
        <v>1064</v>
      </c>
      <c r="B7" s="235" t="s">
        <v>1065</v>
      </c>
      <c r="C7" s="108">
        <v>27</v>
      </c>
      <c r="D7" s="108"/>
      <c r="E7" s="108">
        <v>27</v>
      </c>
      <c r="F7" s="110"/>
    </row>
    <row r="8" s="228" customFormat="1" ht="22.5" customHeight="1" spans="1:6">
      <c r="A8" s="235" t="s">
        <v>1066</v>
      </c>
      <c r="B8" s="235" t="s">
        <v>1067</v>
      </c>
      <c r="C8" s="108">
        <v>10</v>
      </c>
      <c r="D8" s="108"/>
      <c r="E8" s="108">
        <v>10</v>
      </c>
      <c r="F8" s="110"/>
    </row>
    <row r="9" s="228" customFormat="1" ht="22.5" customHeight="1" spans="1:6">
      <c r="A9" s="235" t="s">
        <v>1068</v>
      </c>
      <c r="B9" s="235" t="s">
        <v>1069</v>
      </c>
      <c r="C9" s="108">
        <v>60</v>
      </c>
      <c r="D9" s="108"/>
      <c r="E9" s="108">
        <v>60</v>
      </c>
      <c r="F9" s="110"/>
    </row>
    <row r="10" s="228" customFormat="1" ht="22.5" customHeight="1" spans="1:6">
      <c r="A10" s="235" t="s">
        <v>1070</v>
      </c>
      <c r="B10" s="235" t="s">
        <v>1071</v>
      </c>
      <c r="C10" s="108">
        <v>4.195</v>
      </c>
      <c r="D10" s="108"/>
      <c r="E10" s="108">
        <v>4.195</v>
      </c>
      <c r="F10" s="110"/>
    </row>
    <row r="11" s="228" customFormat="1" ht="22.5" customHeight="1" spans="1:6">
      <c r="A11" s="235" t="s">
        <v>1072</v>
      </c>
      <c r="B11" s="235" t="s">
        <v>1073</v>
      </c>
      <c r="C11" s="108">
        <v>300</v>
      </c>
      <c r="D11" s="108"/>
      <c r="E11" s="108">
        <v>300</v>
      </c>
      <c r="F11" s="110"/>
    </row>
    <row r="12" s="228" customFormat="1" ht="22.5" customHeight="1" spans="1:6">
      <c r="A12" s="235" t="s">
        <v>1078</v>
      </c>
      <c r="B12" s="235" t="s">
        <v>1079</v>
      </c>
      <c r="C12" s="108">
        <v>414</v>
      </c>
      <c r="D12" s="108"/>
      <c r="E12" s="108">
        <v>414</v>
      </c>
      <c r="F12" s="110"/>
    </row>
    <row r="13" s="228" customFormat="1" ht="22.5" customHeight="1" spans="1:6">
      <c r="A13" s="235" t="s">
        <v>1080</v>
      </c>
      <c r="B13" s="235" t="s">
        <v>1081</v>
      </c>
      <c r="C13" s="108">
        <v>59.74</v>
      </c>
      <c r="D13" s="108"/>
      <c r="E13" s="108">
        <v>59.74</v>
      </c>
      <c r="F13" s="110"/>
    </row>
    <row r="14" s="228" customFormat="1" ht="22.5" customHeight="1" spans="1:6">
      <c r="A14" s="235" t="s">
        <v>1082</v>
      </c>
      <c r="B14" s="235" t="s">
        <v>1083</v>
      </c>
      <c r="C14" s="108">
        <v>70</v>
      </c>
      <c r="D14" s="108"/>
      <c r="E14" s="108">
        <v>70</v>
      </c>
      <c r="F14" s="110"/>
    </row>
    <row r="15" s="228" customFormat="1" ht="22.5" customHeight="1" spans="1:6">
      <c r="A15" s="235" t="s">
        <v>1084</v>
      </c>
      <c r="B15" s="235" t="s">
        <v>1085</v>
      </c>
      <c r="C15" s="108">
        <v>50.35</v>
      </c>
      <c r="D15" s="108"/>
      <c r="E15" s="108">
        <v>50.35</v>
      </c>
      <c r="F15" s="110"/>
    </row>
    <row r="16" s="228" customFormat="1" ht="22.5" customHeight="1" spans="1:6">
      <c r="A16" s="235" t="s">
        <v>1088</v>
      </c>
      <c r="B16" s="235" t="s">
        <v>1089</v>
      </c>
      <c r="C16" s="108">
        <v>10599.595</v>
      </c>
      <c r="D16" s="108"/>
      <c r="E16" s="108">
        <v>10599.595</v>
      </c>
      <c r="F16" s="110"/>
    </row>
    <row r="17" s="228" customFormat="1" ht="22.5" customHeight="1" spans="1:6">
      <c r="A17" s="236" t="s">
        <v>1489</v>
      </c>
      <c r="B17" s="236" t="s">
        <v>1090</v>
      </c>
      <c r="C17" s="237">
        <v>2000</v>
      </c>
      <c r="D17" s="237"/>
      <c r="E17" s="237">
        <v>2000</v>
      </c>
      <c r="F17" s="240"/>
    </row>
    <row r="18" s="228" customFormat="1" ht="22.5" customHeight="1" spans="1:6">
      <c r="A18" s="238" t="s">
        <v>1091</v>
      </c>
      <c r="B18" s="238" t="s">
        <v>1092</v>
      </c>
      <c r="C18" s="237">
        <v>37256.731608</v>
      </c>
      <c r="D18" s="237"/>
      <c r="E18" s="237">
        <v>37256.731608</v>
      </c>
      <c r="F18" s="240"/>
    </row>
    <row r="19" s="228" customFormat="1" ht="22.5" customHeight="1" spans="1:6">
      <c r="A19" s="238" t="s">
        <v>1093</v>
      </c>
      <c r="B19" s="238" t="s">
        <v>1094</v>
      </c>
      <c r="C19" s="237">
        <v>70</v>
      </c>
      <c r="D19" s="237"/>
      <c r="E19" s="237">
        <v>70</v>
      </c>
      <c r="F19" s="240"/>
    </row>
    <row r="20" s="228" customFormat="1" ht="22.5" customHeight="1" spans="1:6">
      <c r="A20" s="238" t="s">
        <v>1490</v>
      </c>
      <c r="B20" s="238" t="s">
        <v>1491</v>
      </c>
      <c r="C20" s="237">
        <v>12000</v>
      </c>
      <c r="D20" s="237"/>
      <c r="E20" s="237">
        <v>12000</v>
      </c>
      <c r="F20" s="240"/>
    </row>
    <row r="21" s="228" customFormat="1" ht="22.5" customHeight="1" spans="1:6">
      <c r="A21" s="236" t="s">
        <v>1492</v>
      </c>
      <c r="B21" s="236" t="s">
        <v>1092</v>
      </c>
      <c r="C21" s="237">
        <v>500</v>
      </c>
      <c r="D21" s="237"/>
      <c r="E21" s="237">
        <v>500</v>
      </c>
      <c r="F21" s="240"/>
    </row>
    <row r="22" s="228" customFormat="1" ht="22.5" customHeight="1" spans="1:6">
      <c r="A22" s="238" t="s">
        <v>1100</v>
      </c>
      <c r="B22" s="238" t="s">
        <v>1101</v>
      </c>
      <c r="C22" s="237">
        <v>80</v>
      </c>
      <c r="D22" s="237"/>
      <c r="E22" s="237">
        <v>80</v>
      </c>
      <c r="F22" s="240"/>
    </row>
    <row r="23" s="228" customFormat="1" ht="22.5" customHeight="1" spans="1:6">
      <c r="A23" s="238" t="s">
        <v>1102</v>
      </c>
      <c r="B23" s="238" t="s">
        <v>1103</v>
      </c>
      <c r="C23" s="237">
        <v>9</v>
      </c>
      <c r="D23" s="237"/>
      <c r="E23" s="237">
        <v>9</v>
      </c>
      <c r="F23" s="240"/>
    </row>
    <row r="24" s="228" customFormat="1" ht="22.5" customHeight="1" spans="1:6">
      <c r="A24" s="236" t="s">
        <v>1104</v>
      </c>
      <c r="B24" s="236" t="s">
        <v>1105</v>
      </c>
      <c r="C24" s="237">
        <v>1277</v>
      </c>
      <c r="D24" s="237"/>
      <c r="E24" s="237">
        <v>1277</v>
      </c>
      <c r="F24" s="240"/>
    </row>
    <row r="25" s="228" customFormat="1" ht="22.5" customHeight="1" spans="1:6">
      <c r="A25" s="238" t="s">
        <v>1110</v>
      </c>
      <c r="B25" s="238" t="s">
        <v>1111</v>
      </c>
      <c r="C25" s="237">
        <v>16950</v>
      </c>
      <c r="D25" s="237"/>
      <c r="E25" s="237">
        <v>16950</v>
      </c>
      <c r="F25" s="240"/>
    </row>
    <row r="26" s="228" customFormat="1" ht="22.5" customHeight="1" spans="1:6">
      <c r="A26" s="236" t="s">
        <v>1114</v>
      </c>
      <c r="B26" s="236" t="s">
        <v>1115</v>
      </c>
      <c r="C26" s="237">
        <v>1</v>
      </c>
      <c r="D26" s="237"/>
      <c r="E26" s="237">
        <v>1</v>
      </c>
      <c r="F26" s="240"/>
    </row>
    <row r="27" s="228" customFormat="1" ht="22.5" customHeight="1" spans="1:6">
      <c r="A27" s="235" t="s">
        <v>1122</v>
      </c>
      <c r="B27" s="235" t="s">
        <v>1123</v>
      </c>
      <c r="C27" s="108">
        <v>3</v>
      </c>
      <c r="D27" s="108"/>
      <c r="E27" s="108">
        <v>3</v>
      </c>
      <c r="F27" s="110"/>
    </row>
    <row r="28" s="228" customFormat="1" ht="22.5" customHeight="1" spans="1:6">
      <c r="A28" s="235" t="s">
        <v>1126</v>
      </c>
      <c r="B28" s="235" t="s">
        <v>1127</v>
      </c>
      <c r="C28" s="108">
        <v>8929</v>
      </c>
      <c r="D28" s="108"/>
      <c r="E28" s="108">
        <v>8929</v>
      </c>
      <c r="F28" s="110"/>
    </row>
    <row r="29" s="228" customFormat="1" ht="22.5" customHeight="1" spans="1:6">
      <c r="A29" s="235" t="s">
        <v>1130</v>
      </c>
      <c r="B29" s="235" t="s">
        <v>1131</v>
      </c>
      <c r="C29" s="108">
        <v>200</v>
      </c>
      <c r="D29" s="108"/>
      <c r="E29" s="108">
        <v>200</v>
      </c>
      <c r="F29" s="110"/>
    </row>
    <row r="30" s="228" customFormat="1" ht="22.5" customHeight="1" spans="1:6">
      <c r="A30" s="235" t="s">
        <v>1128</v>
      </c>
      <c r="B30" s="235" t="s">
        <v>1129</v>
      </c>
      <c r="C30" s="108">
        <v>18581</v>
      </c>
      <c r="D30" s="108"/>
      <c r="E30" s="108">
        <v>18581</v>
      </c>
      <c r="F30" s="110"/>
    </row>
    <row r="31" s="228" customFormat="1" ht="22.5" customHeight="1" spans="1:6">
      <c r="A31" s="235" t="s">
        <v>1136</v>
      </c>
      <c r="B31" s="235" t="s">
        <v>1137</v>
      </c>
      <c r="C31" s="108">
        <v>11</v>
      </c>
      <c r="D31" s="108"/>
      <c r="E31" s="108">
        <v>11</v>
      </c>
      <c r="F31" s="110"/>
    </row>
  </sheetData>
  <sheetProtection insertRows="0" insertColumns="0" insertHyperlinks="0" deleteColumns="0" deleteRows="0" sort="0" autoFilter="0" pivotTables="0"/>
  <mergeCells count="5">
    <mergeCell ref="A2:F2"/>
    <mergeCell ref="C4:E4"/>
    <mergeCell ref="A4:A5"/>
    <mergeCell ref="B4:B5"/>
    <mergeCell ref="F4:F5"/>
  </mergeCells>
  <pageMargins left="0" right="0" top="0" bottom="0" header="0" footer="0"/>
  <pageSetup paperSize="8" orientation="portrait" horizontalDpi="300" verticalDpi="300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view="pageBreakPreview" zoomScaleNormal="100" zoomScaleSheetLayoutView="100" workbookViewId="0">
      <selection activeCell="C17" sqref="C17"/>
    </sheetView>
  </sheetViews>
  <sheetFormatPr defaultColWidth="9" defaultRowHeight="14.25" outlineLevelRow="4" outlineLevelCol="2"/>
  <cols>
    <col min="1" max="1" width="40.5" customWidth="1"/>
    <col min="2" max="2" width="18.75" customWidth="1"/>
    <col min="3" max="3" width="15.25" customWidth="1"/>
  </cols>
  <sheetData>
    <row r="1" s="90" customFormat="1" ht="27" customHeight="1" spans="1:3">
      <c r="A1" s="218" t="s">
        <v>1493</v>
      </c>
      <c r="B1" s="218"/>
      <c r="C1" s="218"/>
    </row>
    <row r="2" s="90" customFormat="1" ht="15" customHeight="1" spans="1:3">
      <c r="A2" s="219"/>
      <c r="B2" s="219"/>
      <c r="C2" s="220" t="s">
        <v>1483</v>
      </c>
    </row>
    <row r="3" s="90" customFormat="1" ht="27.95" customHeight="1" spans="1:3">
      <c r="A3" s="221" t="s">
        <v>1139</v>
      </c>
      <c r="B3" s="221" t="s">
        <v>1494</v>
      </c>
      <c r="C3" s="222" t="s">
        <v>1485</v>
      </c>
    </row>
    <row r="4" s="90" customFormat="1" ht="27.95" customHeight="1" spans="1:3">
      <c r="A4" s="223" t="s">
        <v>146</v>
      </c>
      <c r="B4" s="224">
        <v>1461.9007</v>
      </c>
      <c r="C4" s="225"/>
    </row>
    <row r="5" s="90" customFormat="1" ht="26.1" customHeight="1" spans="1:3">
      <c r="A5" s="226" t="s">
        <v>1495</v>
      </c>
      <c r="B5" s="224">
        <v>1461.9007</v>
      </c>
      <c r="C5" s="227"/>
    </row>
  </sheetData>
  <mergeCells count="1">
    <mergeCell ref="A1:C1"/>
  </mergeCells>
  <pageMargins left="0.75" right="0.75" top="1" bottom="1" header="0.5" footer="0.5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workbookViewId="0">
      <selection activeCell="E10" sqref="E10"/>
    </sheetView>
  </sheetViews>
  <sheetFormatPr defaultColWidth="8.75" defaultRowHeight="14.25" outlineLevelCol="2"/>
  <cols>
    <col min="1" max="1" width="15.25" style="197" customWidth="1"/>
    <col min="2" max="2" width="37.625" style="197" customWidth="1"/>
    <col min="3" max="3" width="41.375" style="197" customWidth="1"/>
    <col min="4" max="4" width="9" style="197"/>
    <col min="5" max="5" width="12.625" style="197"/>
    <col min="6" max="7" width="12.875" style="197"/>
    <col min="8" max="8" width="9.625" style="197"/>
    <col min="9" max="24" width="9" style="197"/>
    <col min="25" max="248" width="8.75" style="197"/>
    <col min="249" max="16384" width="8.75" style="99"/>
  </cols>
  <sheetData>
    <row r="1" ht="30" customHeight="1" spans="1:1">
      <c r="A1" s="207"/>
    </row>
    <row r="2" ht="33" customHeight="1" spans="1:3">
      <c r="A2" s="208" t="s">
        <v>1496</v>
      </c>
      <c r="B2" s="208"/>
      <c r="C2" s="208"/>
    </row>
    <row r="3" ht="23.25" customHeight="1" spans="1:3">
      <c r="A3" s="209"/>
      <c r="B3" s="210"/>
      <c r="C3" s="210" t="s">
        <v>1169</v>
      </c>
    </row>
    <row r="4" ht="32.25" customHeight="1" spans="1:3">
      <c r="A4" s="211" t="s">
        <v>1170</v>
      </c>
      <c r="B4" s="211" t="s">
        <v>1171</v>
      </c>
      <c r="C4" s="211" t="s">
        <v>1172</v>
      </c>
    </row>
    <row r="5" ht="27" customHeight="1" spans="1:3">
      <c r="A5" s="212" t="s">
        <v>1174</v>
      </c>
      <c r="B5" s="213">
        <f>SUM(B6:B13)</f>
        <v>627.83</v>
      </c>
      <c r="C5" s="213">
        <f>SUM(C6:C13)</f>
        <v>627.7817706861</v>
      </c>
    </row>
    <row r="6" ht="27" customHeight="1" spans="1:3">
      <c r="A6" s="214" t="s">
        <v>1175</v>
      </c>
      <c r="B6" s="213">
        <v>225.08</v>
      </c>
      <c r="C6" s="213">
        <v>225.068217954</v>
      </c>
    </row>
    <row r="7" ht="27" customHeight="1" spans="1:3">
      <c r="A7" s="215" t="s">
        <v>1176</v>
      </c>
      <c r="B7" s="216">
        <v>42.55</v>
      </c>
      <c r="C7" s="216">
        <v>42.545836</v>
      </c>
    </row>
    <row r="8" ht="27" customHeight="1" spans="1:3">
      <c r="A8" s="215" t="s">
        <v>1177</v>
      </c>
      <c r="B8" s="216">
        <v>49.36</v>
      </c>
      <c r="C8" s="216">
        <v>49.3559528127</v>
      </c>
    </row>
    <row r="9" ht="27" customHeight="1" spans="1:3">
      <c r="A9" s="35" t="s">
        <v>1178</v>
      </c>
      <c r="B9" s="217">
        <v>40.67</v>
      </c>
      <c r="C9" s="217">
        <v>40.6602330315</v>
      </c>
    </row>
    <row r="10" ht="27" customHeight="1" spans="1:3">
      <c r="A10" s="35" t="s">
        <v>1179</v>
      </c>
      <c r="B10" s="217">
        <v>63.98</v>
      </c>
      <c r="C10" s="217">
        <v>63.9794415303</v>
      </c>
    </row>
    <row r="11" ht="27" customHeight="1" spans="1:3">
      <c r="A11" s="35" t="s">
        <v>1180</v>
      </c>
      <c r="B11" s="217">
        <v>63.48</v>
      </c>
      <c r="C11" s="217">
        <v>63.4732468954</v>
      </c>
    </row>
    <row r="12" ht="27" customHeight="1" spans="1:3">
      <c r="A12" s="35" t="s">
        <v>1181</v>
      </c>
      <c r="B12" s="217">
        <v>40.19</v>
      </c>
      <c r="C12" s="217">
        <v>40.1867826093</v>
      </c>
    </row>
    <row r="13" ht="27" customHeight="1" spans="1:3">
      <c r="A13" s="35" t="s">
        <v>1182</v>
      </c>
      <c r="B13" s="217">
        <v>102.52</v>
      </c>
      <c r="C13" s="217">
        <v>102.5120598529</v>
      </c>
    </row>
  </sheetData>
  <mergeCells count="1">
    <mergeCell ref="A2:C2"/>
  </mergeCells>
  <printOptions horizontalCentered="1"/>
  <pageMargins left="0.789583333333333" right="0.789583333333333" top="0.75" bottom="0.75" header="0.309722222222222" footer="0.509722222222222"/>
  <pageSetup paperSize="9" orientation="landscape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F12" sqref="F12"/>
    </sheetView>
  </sheetViews>
  <sheetFormatPr defaultColWidth="8.75" defaultRowHeight="14.25" outlineLevelCol="2"/>
  <cols>
    <col min="1" max="1" width="40.625" style="197" customWidth="1"/>
    <col min="2" max="2" width="22.125" style="197" customWidth="1"/>
    <col min="3" max="3" width="23.375" style="197" customWidth="1"/>
    <col min="4" max="4" width="15.625" style="197" customWidth="1"/>
    <col min="5" max="5" width="16.25" style="197" customWidth="1"/>
    <col min="6" max="6" width="9.625" style="197" customWidth="1"/>
    <col min="7" max="7" width="13.625" style="197" customWidth="1"/>
    <col min="8" max="8" width="14.625" style="197" customWidth="1"/>
    <col min="9" max="9" width="16.375" style="197" customWidth="1"/>
    <col min="10" max="11" width="9" style="197"/>
    <col min="12" max="12" width="11.75" style="197"/>
    <col min="13" max="14" width="12.875" style="197"/>
    <col min="15" max="15" width="9.625" style="197"/>
    <col min="16" max="31" width="9" style="197"/>
    <col min="32" max="255" width="8.75" style="197"/>
    <col min="256" max="16384" width="8.75" style="99"/>
  </cols>
  <sheetData>
    <row r="1" ht="27" spans="1:3">
      <c r="A1" s="198" t="s">
        <v>1497</v>
      </c>
      <c r="B1" s="198"/>
      <c r="C1" s="198"/>
    </row>
    <row r="2" ht="26" customHeight="1" spans="1:3">
      <c r="A2" s="199"/>
      <c r="B2" s="199"/>
      <c r="C2" s="199" t="s">
        <v>1055</v>
      </c>
    </row>
    <row r="3" ht="21.95" customHeight="1" spans="1:3">
      <c r="A3" s="200" t="s">
        <v>1139</v>
      </c>
      <c r="B3" s="200" t="s">
        <v>1184</v>
      </c>
      <c r="C3" s="200" t="s">
        <v>1185</v>
      </c>
    </row>
    <row r="4" ht="21.95" customHeight="1" spans="1:3">
      <c r="A4" s="201" t="s">
        <v>1186</v>
      </c>
      <c r="B4" s="202">
        <v>1434545.51</v>
      </c>
      <c r="C4" s="202">
        <v>424080.93</v>
      </c>
    </row>
    <row r="5" ht="21.95" customHeight="1" spans="1:3">
      <c r="A5" s="203" t="s">
        <v>1187</v>
      </c>
      <c r="B5" s="204">
        <v>635020</v>
      </c>
      <c r="C5" s="204">
        <v>184517</v>
      </c>
    </row>
    <row r="6" ht="21.95" customHeight="1" spans="1:3">
      <c r="A6" s="201" t="s">
        <v>1188</v>
      </c>
      <c r="B6" s="202">
        <v>90724</v>
      </c>
      <c r="C6" s="202">
        <v>65076</v>
      </c>
    </row>
    <row r="7" ht="21.95" customHeight="1" spans="1:3">
      <c r="A7" s="201" t="s">
        <v>1189</v>
      </c>
      <c r="B7" s="202">
        <v>164518.63</v>
      </c>
      <c r="C7" s="202">
        <v>63505.75</v>
      </c>
    </row>
    <row r="8" ht="21.95" customHeight="1" spans="1:3">
      <c r="A8" s="201" t="s">
        <v>1190</v>
      </c>
      <c r="B8" s="202">
        <f>SUM(B9:B10)</f>
        <v>371881</v>
      </c>
      <c r="C8" s="202">
        <f>SUM(C9:C10)</f>
        <v>184581</v>
      </c>
    </row>
    <row r="9" ht="21.95" customHeight="1" spans="1:3">
      <c r="A9" s="203" t="s">
        <v>1187</v>
      </c>
      <c r="B9" s="204">
        <v>338000</v>
      </c>
      <c r="C9" s="204">
        <v>166000</v>
      </c>
    </row>
    <row r="10" ht="21.95" customHeight="1" spans="1:3">
      <c r="A10" s="203" t="s">
        <v>1191</v>
      </c>
      <c r="B10" s="204">
        <v>33881</v>
      </c>
      <c r="C10" s="204">
        <v>18581</v>
      </c>
    </row>
    <row r="11" ht="21.95" customHeight="1" spans="1:3">
      <c r="A11" s="201" t="s">
        <v>1192</v>
      </c>
      <c r="B11" s="202">
        <v>182200</v>
      </c>
      <c r="C11" s="202">
        <v>8929</v>
      </c>
    </row>
    <row r="12" ht="21.95" customHeight="1" spans="1:3">
      <c r="A12" s="201" t="s">
        <v>1193</v>
      </c>
      <c r="B12" s="202">
        <f>B13</f>
        <v>338000</v>
      </c>
      <c r="C12" s="202">
        <f>C13</f>
        <v>166000</v>
      </c>
    </row>
    <row r="13" ht="21.95" customHeight="1" spans="1:3">
      <c r="A13" s="203" t="s">
        <v>1187</v>
      </c>
      <c r="B13" s="204">
        <v>338000</v>
      </c>
      <c r="C13" s="204">
        <v>166000</v>
      </c>
    </row>
    <row r="14" ht="57" customHeight="1" spans="1:3">
      <c r="A14" s="205" t="s">
        <v>1498</v>
      </c>
      <c r="B14" s="206"/>
      <c r="C14" s="206"/>
    </row>
  </sheetData>
  <mergeCells count="2">
    <mergeCell ref="A1:C1"/>
    <mergeCell ref="A14:C14"/>
  </mergeCells>
  <printOptions horizontalCentered="1"/>
  <pageMargins left="0.789583333333333" right="0.789583333333333" top="0.75" bottom="0.75" header="0.309722222222222" footer="0.509722222222222"/>
  <pageSetup paperSize="9" orientation="landscape"/>
  <headerFooter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4"/>
  <sheetViews>
    <sheetView showZeros="0" view="pageBreakPreview" zoomScaleNormal="100" zoomScaleSheetLayoutView="100" topLeftCell="B1" workbookViewId="0">
      <pane xSplit="1" ySplit="6" topLeftCell="C39" activePane="bottomRight" state="frozen"/>
      <selection/>
      <selection pane="topRight"/>
      <selection pane="bottomLeft"/>
      <selection pane="bottomRight" activeCell="K54" sqref="K54"/>
    </sheetView>
  </sheetViews>
  <sheetFormatPr defaultColWidth="9" defaultRowHeight="14.25"/>
  <cols>
    <col min="1" max="1" width="15.75" style="164" hidden="1" customWidth="1"/>
    <col min="2" max="2" width="42.5833333333333" style="164" customWidth="1"/>
    <col min="3" max="3" width="11.8333333333333" style="165" customWidth="1"/>
    <col min="4" max="4" width="12.5" style="166" customWidth="1"/>
    <col min="5" max="5" width="12.5" style="167" customWidth="1"/>
    <col min="6" max="6" width="13.8333333333333" style="165" hidden="1" customWidth="1"/>
    <col min="7" max="7" width="10.8333333333333" style="165" customWidth="1"/>
    <col min="8" max="8" width="11.8333333333333" style="165" customWidth="1"/>
    <col min="9" max="9" width="11.0833333333333" style="165" customWidth="1"/>
    <col min="10" max="10" width="11.3333333333333" style="165" customWidth="1"/>
    <col min="11" max="11" width="12.5" style="167" customWidth="1"/>
    <col min="12" max="12" width="9" style="164"/>
    <col min="13" max="13" width="22.5833333333333" style="164" customWidth="1"/>
    <col min="14" max="14" width="37.0833333333333" style="164" customWidth="1"/>
    <col min="15" max="256" width="9" style="164"/>
    <col min="257" max="257" width="9" style="164" hidden="1" customWidth="1"/>
    <col min="258" max="258" width="42.5833333333333" style="164" customWidth="1"/>
    <col min="259" max="259" width="11.8333333333333" style="164" customWidth="1"/>
    <col min="260" max="261" width="12.5" style="164" customWidth="1"/>
    <col min="262" max="262" width="13.8333333333333" style="164" customWidth="1"/>
    <col min="263" max="263" width="10.8333333333333" style="164" customWidth="1"/>
    <col min="264" max="264" width="11.8333333333333" style="164" customWidth="1"/>
    <col min="265" max="265" width="11.0833333333333" style="164" customWidth="1"/>
    <col min="266" max="266" width="11.3333333333333" style="164" customWidth="1"/>
    <col min="267" max="267" width="10" style="164" customWidth="1"/>
    <col min="268" max="268" width="9" style="164"/>
    <col min="269" max="269" width="22.5833333333333" style="164" customWidth="1"/>
    <col min="270" max="270" width="37.0833333333333" style="164" customWidth="1"/>
    <col min="271" max="512" width="9" style="164"/>
    <col min="513" max="513" width="9" style="164" hidden="1" customWidth="1"/>
    <col min="514" max="514" width="42.5833333333333" style="164" customWidth="1"/>
    <col min="515" max="515" width="11.8333333333333" style="164" customWidth="1"/>
    <col min="516" max="517" width="12.5" style="164" customWidth="1"/>
    <col min="518" max="518" width="13.8333333333333" style="164" customWidth="1"/>
    <col min="519" max="519" width="10.8333333333333" style="164" customWidth="1"/>
    <col min="520" max="520" width="11.8333333333333" style="164" customWidth="1"/>
    <col min="521" max="521" width="11.0833333333333" style="164" customWidth="1"/>
    <col min="522" max="522" width="11.3333333333333" style="164" customWidth="1"/>
    <col min="523" max="523" width="10" style="164" customWidth="1"/>
    <col min="524" max="524" width="9" style="164"/>
    <col min="525" max="525" width="22.5833333333333" style="164" customWidth="1"/>
    <col min="526" max="526" width="37.0833333333333" style="164" customWidth="1"/>
    <col min="527" max="768" width="9" style="164"/>
    <col min="769" max="769" width="9" style="164" hidden="1" customWidth="1"/>
    <col min="770" max="770" width="42.5833333333333" style="164" customWidth="1"/>
    <col min="771" max="771" width="11.8333333333333" style="164" customWidth="1"/>
    <col min="772" max="773" width="12.5" style="164" customWidth="1"/>
    <col min="774" max="774" width="13.8333333333333" style="164" customWidth="1"/>
    <col min="775" max="775" width="10.8333333333333" style="164" customWidth="1"/>
    <col min="776" max="776" width="11.8333333333333" style="164" customWidth="1"/>
    <col min="777" max="777" width="11.0833333333333" style="164" customWidth="1"/>
    <col min="778" max="778" width="11.3333333333333" style="164" customWidth="1"/>
    <col min="779" max="779" width="10" style="164" customWidth="1"/>
    <col min="780" max="780" width="9" style="164"/>
    <col min="781" max="781" width="22.5833333333333" style="164" customWidth="1"/>
    <col min="782" max="782" width="37.0833333333333" style="164" customWidth="1"/>
    <col min="783" max="1024" width="9" style="164"/>
    <col min="1025" max="1025" width="9" style="164" hidden="1" customWidth="1"/>
    <col min="1026" max="1026" width="42.5833333333333" style="164" customWidth="1"/>
    <col min="1027" max="1027" width="11.8333333333333" style="164" customWidth="1"/>
    <col min="1028" max="1029" width="12.5" style="164" customWidth="1"/>
    <col min="1030" max="1030" width="13.8333333333333" style="164" customWidth="1"/>
    <col min="1031" max="1031" width="10.8333333333333" style="164" customWidth="1"/>
    <col min="1032" max="1032" width="11.8333333333333" style="164" customWidth="1"/>
    <col min="1033" max="1033" width="11.0833333333333" style="164" customWidth="1"/>
    <col min="1034" max="1034" width="11.3333333333333" style="164" customWidth="1"/>
    <col min="1035" max="1035" width="10" style="164" customWidth="1"/>
    <col min="1036" max="1036" width="9" style="164"/>
    <col min="1037" max="1037" width="22.5833333333333" style="164" customWidth="1"/>
    <col min="1038" max="1038" width="37.0833333333333" style="164" customWidth="1"/>
    <col min="1039" max="1280" width="9" style="164"/>
    <col min="1281" max="1281" width="9" style="164" hidden="1" customWidth="1"/>
    <col min="1282" max="1282" width="42.5833333333333" style="164" customWidth="1"/>
    <col min="1283" max="1283" width="11.8333333333333" style="164" customWidth="1"/>
    <col min="1284" max="1285" width="12.5" style="164" customWidth="1"/>
    <col min="1286" max="1286" width="13.8333333333333" style="164" customWidth="1"/>
    <col min="1287" max="1287" width="10.8333333333333" style="164" customWidth="1"/>
    <col min="1288" max="1288" width="11.8333333333333" style="164" customWidth="1"/>
    <col min="1289" max="1289" width="11.0833333333333" style="164" customWidth="1"/>
    <col min="1290" max="1290" width="11.3333333333333" style="164" customWidth="1"/>
    <col min="1291" max="1291" width="10" style="164" customWidth="1"/>
    <col min="1292" max="1292" width="9" style="164"/>
    <col min="1293" max="1293" width="22.5833333333333" style="164" customWidth="1"/>
    <col min="1294" max="1294" width="37.0833333333333" style="164" customWidth="1"/>
    <col min="1295" max="1536" width="9" style="164"/>
    <col min="1537" max="1537" width="9" style="164" hidden="1" customWidth="1"/>
    <col min="1538" max="1538" width="42.5833333333333" style="164" customWidth="1"/>
    <col min="1539" max="1539" width="11.8333333333333" style="164" customWidth="1"/>
    <col min="1540" max="1541" width="12.5" style="164" customWidth="1"/>
    <col min="1542" max="1542" width="13.8333333333333" style="164" customWidth="1"/>
    <col min="1543" max="1543" width="10.8333333333333" style="164" customWidth="1"/>
    <col min="1544" max="1544" width="11.8333333333333" style="164" customWidth="1"/>
    <col min="1545" max="1545" width="11.0833333333333" style="164" customWidth="1"/>
    <col min="1546" max="1546" width="11.3333333333333" style="164" customWidth="1"/>
    <col min="1547" max="1547" width="10" style="164" customWidth="1"/>
    <col min="1548" max="1548" width="9" style="164"/>
    <col min="1549" max="1549" width="22.5833333333333" style="164" customWidth="1"/>
    <col min="1550" max="1550" width="37.0833333333333" style="164" customWidth="1"/>
    <col min="1551" max="1792" width="9" style="164"/>
    <col min="1793" max="1793" width="9" style="164" hidden="1" customWidth="1"/>
    <col min="1794" max="1794" width="42.5833333333333" style="164" customWidth="1"/>
    <col min="1795" max="1795" width="11.8333333333333" style="164" customWidth="1"/>
    <col min="1796" max="1797" width="12.5" style="164" customWidth="1"/>
    <col min="1798" max="1798" width="13.8333333333333" style="164" customWidth="1"/>
    <col min="1799" max="1799" width="10.8333333333333" style="164" customWidth="1"/>
    <col min="1800" max="1800" width="11.8333333333333" style="164" customWidth="1"/>
    <col min="1801" max="1801" width="11.0833333333333" style="164" customWidth="1"/>
    <col min="1802" max="1802" width="11.3333333333333" style="164" customWidth="1"/>
    <col min="1803" max="1803" width="10" style="164" customWidth="1"/>
    <col min="1804" max="1804" width="9" style="164"/>
    <col min="1805" max="1805" width="22.5833333333333" style="164" customWidth="1"/>
    <col min="1806" max="1806" width="37.0833333333333" style="164" customWidth="1"/>
    <col min="1807" max="2048" width="9" style="164"/>
    <col min="2049" max="2049" width="9" style="164" hidden="1" customWidth="1"/>
    <col min="2050" max="2050" width="42.5833333333333" style="164" customWidth="1"/>
    <col min="2051" max="2051" width="11.8333333333333" style="164" customWidth="1"/>
    <col min="2052" max="2053" width="12.5" style="164" customWidth="1"/>
    <col min="2054" max="2054" width="13.8333333333333" style="164" customWidth="1"/>
    <col min="2055" max="2055" width="10.8333333333333" style="164" customWidth="1"/>
    <col min="2056" max="2056" width="11.8333333333333" style="164" customWidth="1"/>
    <col min="2057" max="2057" width="11.0833333333333" style="164" customWidth="1"/>
    <col min="2058" max="2058" width="11.3333333333333" style="164" customWidth="1"/>
    <col min="2059" max="2059" width="10" style="164" customWidth="1"/>
    <col min="2060" max="2060" width="9" style="164"/>
    <col min="2061" max="2061" width="22.5833333333333" style="164" customWidth="1"/>
    <col min="2062" max="2062" width="37.0833333333333" style="164" customWidth="1"/>
    <col min="2063" max="2304" width="9" style="164"/>
    <col min="2305" max="2305" width="9" style="164" hidden="1" customWidth="1"/>
    <col min="2306" max="2306" width="42.5833333333333" style="164" customWidth="1"/>
    <col min="2307" max="2307" width="11.8333333333333" style="164" customWidth="1"/>
    <col min="2308" max="2309" width="12.5" style="164" customWidth="1"/>
    <col min="2310" max="2310" width="13.8333333333333" style="164" customWidth="1"/>
    <col min="2311" max="2311" width="10.8333333333333" style="164" customWidth="1"/>
    <col min="2312" max="2312" width="11.8333333333333" style="164" customWidth="1"/>
    <col min="2313" max="2313" width="11.0833333333333" style="164" customWidth="1"/>
    <col min="2314" max="2314" width="11.3333333333333" style="164" customWidth="1"/>
    <col min="2315" max="2315" width="10" style="164" customWidth="1"/>
    <col min="2316" max="2316" width="9" style="164"/>
    <col min="2317" max="2317" width="22.5833333333333" style="164" customWidth="1"/>
    <col min="2318" max="2318" width="37.0833333333333" style="164" customWidth="1"/>
    <col min="2319" max="2560" width="9" style="164"/>
    <col min="2561" max="2561" width="9" style="164" hidden="1" customWidth="1"/>
    <col min="2562" max="2562" width="42.5833333333333" style="164" customWidth="1"/>
    <col min="2563" max="2563" width="11.8333333333333" style="164" customWidth="1"/>
    <col min="2564" max="2565" width="12.5" style="164" customWidth="1"/>
    <col min="2566" max="2566" width="13.8333333333333" style="164" customWidth="1"/>
    <col min="2567" max="2567" width="10.8333333333333" style="164" customWidth="1"/>
    <col min="2568" max="2568" width="11.8333333333333" style="164" customWidth="1"/>
    <col min="2569" max="2569" width="11.0833333333333" style="164" customWidth="1"/>
    <col min="2570" max="2570" width="11.3333333333333" style="164" customWidth="1"/>
    <col min="2571" max="2571" width="10" style="164" customWidth="1"/>
    <col min="2572" max="2572" width="9" style="164"/>
    <col min="2573" max="2573" width="22.5833333333333" style="164" customWidth="1"/>
    <col min="2574" max="2574" width="37.0833333333333" style="164" customWidth="1"/>
    <col min="2575" max="2816" width="9" style="164"/>
    <col min="2817" max="2817" width="9" style="164" hidden="1" customWidth="1"/>
    <col min="2818" max="2818" width="42.5833333333333" style="164" customWidth="1"/>
    <col min="2819" max="2819" width="11.8333333333333" style="164" customWidth="1"/>
    <col min="2820" max="2821" width="12.5" style="164" customWidth="1"/>
    <col min="2822" max="2822" width="13.8333333333333" style="164" customWidth="1"/>
    <col min="2823" max="2823" width="10.8333333333333" style="164" customWidth="1"/>
    <col min="2824" max="2824" width="11.8333333333333" style="164" customWidth="1"/>
    <col min="2825" max="2825" width="11.0833333333333" style="164" customWidth="1"/>
    <col min="2826" max="2826" width="11.3333333333333" style="164" customWidth="1"/>
    <col min="2827" max="2827" width="10" style="164" customWidth="1"/>
    <col min="2828" max="2828" width="9" style="164"/>
    <col min="2829" max="2829" width="22.5833333333333" style="164" customWidth="1"/>
    <col min="2830" max="2830" width="37.0833333333333" style="164" customWidth="1"/>
    <col min="2831" max="3072" width="9" style="164"/>
    <col min="3073" max="3073" width="9" style="164" hidden="1" customWidth="1"/>
    <col min="3074" max="3074" width="42.5833333333333" style="164" customWidth="1"/>
    <col min="3075" max="3075" width="11.8333333333333" style="164" customWidth="1"/>
    <col min="3076" max="3077" width="12.5" style="164" customWidth="1"/>
    <col min="3078" max="3078" width="13.8333333333333" style="164" customWidth="1"/>
    <col min="3079" max="3079" width="10.8333333333333" style="164" customWidth="1"/>
    <col min="3080" max="3080" width="11.8333333333333" style="164" customWidth="1"/>
    <col min="3081" max="3081" width="11.0833333333333" style="164" customWidth="1"/>
    <col min="3082" max="3082" width="11.3333333333333" style="164" customWidth="1"/>
    <col min="3083" max="3083" width="10" style="164" customWidth="1"/>
    <col min="3084" max="3084" width="9" style="164"/>
    <col min="3085" max="3085" width="22.5833333333333" style="164" customWidth="1"/>
    <col min="3086" max="3086" width="37.0833333333333" style="164" customWidth="1"/>
    <col min="3087" max="3328" width="9" style="164"/>
    <col min="3329" max="3329" width="9" style="164" hidden="1" customWidth="1"/>
    <col min="3330" max="3330" width="42.5833333333333" style="164" customWidth="1"/>
    <col min="3331" max="3331" width="11.8333333333333" style="164" customWidth="1"/>
    <col min="3332" max="3333" width="12.5" style="164" customWidth="1"/>
    <col min="3334" max="3334" width="13.8333333333333" style="164" customWidth="1"/>
    <col min="3335" max="3335" width="10.8333333333333" style="164" customWidth="1"/>
    <col min="3336" max="3336" width="11.8333333333333" style="164" customWidth="1"/>
    <col min="3337" max="3337" width="11.0833333333333" style="164" customWidth="1"/>
    <col min="3338" max="3338" width="11.3333333333333" style="164" customWidth="1"/>
    <col min="3339" max="3339" width="10" style="164" customWidth="1"/>
    <col min="3340" max="3340" width="9" style="164"/>
    <col min="3341" max="3341" width="22.5833333333333" style="164" customWidth="1"/>
    <col min="3342" max="3342" width="37.0833333333333" style="164" customWidth="1"/>
    <col min="3343" max="3584" width="9" style="164"/>
    <col min="3585" max="3585" width="9" style="164" hidden="1" customWidth="1"/>
    <col min="3586" max="3586" width="42.5833333333333" style="164" customWidth="1"/>
    <col min="3587" max="3587" width="11.8333333333333" style="164" customWidth="1"/>
    <col min="3588" max="3589" width="12.5" style="164" customWidth="1"/>
    <col min="3590" max="3590" width="13.8333333333333" style="164" customWidth="1"/>
    <col min="3591" max="3591" width="10.8333333333333" style="164" customWidth="1"/>
    <col min="3592" max="3592" width="11.8333333333333" style="164" customWidth="1"/>
    <col min="3593" max="3593" width="11.0833333333333" style="164" customWidth="1"/>
    <col min="3594" max="3594" width="11.3333333333333" style="164" customWidth="1"/>
    <col min="3595" max="3595" width="10" style="164" customWidth="1"/>
    <col min="3596" max="3596" width="9" style="164"/>
    <col min="3597" max="3597" width="22.5833333333333" style="164" customWidth="1"/>
    <col min="3598" max="3598" width="37.0833333333333" style="164" customWidth="1"/>
    <col min="3599" max="3840" width="9" style="164"/>
    <col min="3841" max="3841" width="9" style="164" hidden="1" customWidth="1"/>
    <col min="3842" max="3842" width="42.5833333333333" style="164" customWidth="1"/>
    <col min="3843" max="3843" width="11.8333333333333" style="164" customWidth="1"/>
    <col min="3844" max="3845" width="12.5" style="164" customWidth="1"/>
    <col min="3846" max="3846" width="13.8333333333333" style="164" customWidth="1"/>
    <col min="3847" max="3847" width="10.8333333333333" style="164" customWidth="1"/>
    <col min="3848" max="3848" width="11.8333333333333" style="164" customWidth="1"/>
    <col min="3849" max="3849" width="11.0833333333333" style="164" customWidth="1"/>
    <col min="3850" max="3850" width="11.3333333333333" style="164" customWidth="1"/>
    <col min="3851" max="3851" width="10" style="164" customWidth="1"/>
    <col min="3852" max="3852" width="9" style="164"/>
    <col min="3853" max="3853" width="22.5833333333333" style="164" customWidth="1"/>
    <col min="3854" max="3854" width="37.0833333333333" style="164" customWidth="1"/>
    <col min="3855" max="4096" width="9" style="164"/>
    <col min="4097" max="4097" width="9" style="164" hidden="1" customWidth="1"/>
    <col min="4098" max="4098" width="42.5833333333333" style="164" customWidth="1"/>
    <col min="4099" max="4099" width="11.8333333333333" style="164" customWidth="1"/>
    <col min="4100" max="4101" width="12.5" style="164" customWidth="1"/>
    <col min="4102" max="4102" width="13.8333333333333" style="164" customWidth="1"/>
    <col min="4103" max="4103" width="10.8333333333333" style="164" customWidth="1"/>
    <col min="4104" max="4104" width="11.8333333333333" style="164" customWidth="1"/>
    <col min="4105" max="4105" width="11.0833333333333" style="164" customWidth="1"/>
    <col min="4106" max="4106" width="11.3333333333333" style="164" customWidth="1"/>
    <col min="4107" max="4107" width="10" style="164" customWidth="1"/>
    <col min="4108" max="4108" width="9" style="164"/>
    <col min="4109" max="4109" width="22.5833333333333" style="164" customWidth="1"/>
    <col min="4110" max="4110" width="37.0833333333333" style="164" customWidth="1"/>
    <col min="4111" max="4352" width="9" style="164"/>
    <col min="4353" max="4353" width="9" style="164" hidden="1" customWidth="1"/>
    <col min="4354" max="4354" width="42.5833333333333" style="164" customWidth="1"/>
    <col min="4355" max="4355" width="11.8333333333333" style="164" customWidth="1"/>
    <col min="4356" max="4357" width="12.5" style="164" customWidth="1"/>
    <col min="4358" max="4358" width="13.8333333333333" style="164" customWidth="1"/>
    <col min="4359" max="4359" width="10.8333333333333" style="164" customWidth="1"/>
    <col min="4360" max="4360" width="11.8333333333333" style="164" customWidth="1"/>
    <col min="4361" max="4361" width="11.0833333333333" style="164" customWidth="1"/>
    <col min="4362" max="4362" width="11.3333333333333" style="164" customWidth="1"/>
    <col min="4363" max="4363" width="10" style="164" customWidth="1"/>
    <col min="4364" max="4364" width="9" style="164"/>
    <col min="4365" max="4365" width="22.5833333333333" style="164" customWidth="1"/>
    <col min="4366" max="4366" width="37.0833333333333" style="164" customWidth="1"/>
    <col min="4367" max="4608" width="9" style="164"/>
    <col min="4609" max="4609" width="9" style="164" hidden="1" customWidth="1"/>
    <col min="4610" max="4610" width="42.5833333333333" style="164" customWidth="1"/>
    <col min="4611" max="4611" width="11.8333333333333" style="164" customWidth="1"/>
    <col min="4612" max="4613" width="12.5" style="164" customWidth="1"/>
    <col min="4614" max="4614" width="13.8333333333333" style="164" customWidth="1"/>
    <col min="4615" max="4615" width="10.8333333333333" style="164" customWidth="1"/>
    <col min="4616" max="4616" width="11.8333333333333" style="164" customWidth="1"/>
    <col min="4617" max="4617" width="11.0833333333333" style="164" customWidth="1"/>
    <col min="4618" max="4618" width="11.3333333333333" style="164" customWidth="1"/>
    <col min="4619" max="4619" width="10" style="164" customWidth="1"/>
    <col min="4620" max="4620" width="9" style="164"/>
    <col min="4621" max="4621" width="22.5833333333333" style="164" customWidth="1"/>
    <col min="4622" max="4622" width="37.0833333333333" style="164" customWidth="1"/>
    <col min="4623" max="4864" width="9" style="164"/>
    <col min="4865" max="4865" width="9" style="164" hidden="1" customWidth="1"/>
    <col min="4866" max="4866" width="42.5833333333333" style="164" customWidth="1"/>
    <col min="4867" max="4867" width="11.8333333333333" style="164" customWidth="1"/>
    <col min="4868" max="4869" width="12.5" style="164" customWidth="1"/>
    <col min="4870" max="4870" width="13.8333333333333" style="164" customWidth="1"/>
    <col min="4871" max="4871" width="10.8333333333333" style="164" customWidth="1"/>
    <col min="4872" max="4872" width="11.8333333333333" style="164" customWidth="1"/>
    <col min="4873" max="4873" width="11.0833333333333" style="164" customWidth="1"/>
    <col min="4874" max="4874" width="11.3333333333333" style="164" customWidth="1"/>
    <col min="4875" max="4875" width="10" style="164" customWidth="1"/>
    <col min="4876" max="4876" width="9" style="164"/>
    <col min="4877" max="4877" width="22.5833333333333" style="164" customWidth="1"/>
    <col min="4878" max="4878" width="37.0833333333333" style="164" customWidth="1"/>
    <col min="4879" max="5120" width="9" style="164"/>
    <col min="5121" max="5121" width="9" style="164" hidden="1" customWidth="1"/>
    <col min="5122" max="5122" width="42.5833333333333" style="164" customWidth="1"/>
    <col min="5123" max="5123" width="11.8333333333333" style="164" customWidth="1"/>
    <col min="5124" max="5125" width="12.5" style="164" customWidth="1"/>
    <col min="5126" max="5126" width="13.8333333333333" style="164" customWidth="1"/>
    <col min="5127" max="5127" width="10.8333333333333" style="164" customWidth="1"/>
    <col min="5128" max="5128" width="11.8333333333333" style="164" customWidth="1"/>
    <col min="5129" max="5129" width="11.0833333333333" style="164" customWidth="1"/>
    <col min="5130" max="5130" width="11.3333333333333" style="164" customWidth="1"/>
    <col min="5131" max="5131" width="10" style="164" customWidth="1"/>
    <col min="5132" max="5132" width="9" style="164"/>
    <col min="5133" max="5133" width="22.5833333333333" style="164" customWidth="1"/>
    <col min="5134" max="5134" width="37.0833333333333" style="164" customWidth="1"/>
    <col min="5135" max="5376" width="9" style="164"/>
    <col min="5377" max="5377" width="9" style="164" hidden="1" customWidth="1"/>
    <col min="5378" max="5378" width="42.5833333333333" style="164" customWidth="1"/>
    <col min="5379" max="5379" width="11.8333333333333" style="164" customWidth="1"/>
    <col min="5380" max="5381" width="12.5" style="164" customWidth="1"/>
    <col min="5382" max="5382" width="13.8333333333333" style="164" customWidth="1"/>
    <col min="5383" max="5383" width="10.8333333333333" style="164" customWidth="1"/>
    <col min="5384" max="5384" width="11.8333333333333" style="164" customWidth="1"/>
    <col min="5385" max="5385" width="11.0833333333333" style="164" customWidth="1"/>
    <col min="5386" max="5386" width="11.3333333333333" style="164" customWidth="1"/>
    <col min="5387" max="5387" width="10" style="164" customWidth="1"/>
    <col min="5388" max="5388" width="9" style="164"/>
    <col min="5389" max="5389" width="22.5833333333333" style="164" customWidth="1"/>
    <col min="5390" max="5390" width="37.0833333333333" style="164" customWidth="1"/>
    <col min="5391" max="5632" width="9" style="164"/>
    <col min="5633" max="5633" width="9" style="164" hidden="1" customWidth="1"/>
    <col min="5634" max="5634" width="42.5833333333333" style="164" customWidth="1"/>
    <col min="5635" max="5635" width="11.8333333333333" style="164" customWidth="1"/>
    <col min="5636" max="5637" width="12.5" style="164" customWidth="1"/>
    <col min="5638" max="5638" width="13.8333333333333" style="164" customWidth="1"/>
    <col min="5639" max="5639" width="10.8333333333333" style="164" customWidth="1"/>
    <col min="5640" max="5640" width="11.8333333333333" style="164" customWidth="1"/>
    <col min="5641" max="5641" width="11.0833333333333" style="164" customWidth="1"/>
    <col min="5642" max="5642" width="11.3333333333333" style="164" customWidth="1"/>
    <col min="5643" max="5643" width="10" style="164" customWidth="1"/>
    <col min="5644" max="5644" width="9" style="164"/>
    <col min="5645" max="5645" width="22.5833333333333" style="164" customWidth="1"/>
    <col min="5646" max="5646" width="37.0833333333333" style="164" customWidth="1"/>
    <col min="5647" max="5888" width="9" style="164"/>
    <col min="5889" max="5889" width="9" style="164" hidden="1" customWidth="1"/>
    <col min="5890" max="5890" width="42.5833333333333" style="164" customWidth="1"/>
    <col min="5891" max="5891" width="11.8333333333333" style="164" customWidth="1"/>
    <col min="5892" max="5893" width="12.5" style="164" customWidth="1"/>
    <col min="5894" max="5894" width="13.8333333333333" style="164" customWidth="1"/>
    <col min="5895" max="5895" width="10.8333333333333" style="164" customWidth="1"/>
    <col min="5896" max="5896" width="11.8333333333333" style="164" customWidth="1"/>
    <col min="5897" max="5897" width="11.0833333333333" style="164" customWidth="1"/>
    <col min="5898" max="5898" width="11.3333333333333" style="164" customWidth="1"/>
    <col min="5899" max="5899" width="10" style="164" customWidth="1"/>
    <col min="5900" max="5900" width="9" style="164"/>
    <col min="5901" max="5901" width="22.5833333333333" style="164" customWidth="1"/>
    <col min="5902" max="5902" width="37.0833333333333" style="164" customWidth="1"/>
    <col min="5903" max="6144" width="9" style="164"/>
    <col min="6145" max="6145" width="9" style="164" hidden="1" customWidth="1"/>
    <col min="6146" max="6146" width="42.5833333333333" style="164" customWidth="1"/>
    <col min="6147" max="6147" width="11.8333333333333" style="164" customWidth="1"/>
    <col min="6148" max="6149" width="12.5" style="164" customWidth="1"/>
    <col min="6150" max="6150" width="13.8333333333333" style="164" customWidth="1"/>
    <col min="6151" max="6151" width="10.8333333333333" style="164" customWidth="1"/>
    <col min="6152" max="6152" width="11.8333333333333" style="164" customWidth="1"/>
    <col min="6153" max="6153" width="11.0833333333333" style="164" customWidth="1"/>
    <col min="6154" max="6154" width="11.3333333333333" style="164" customWidth="1"/>
    <col min="6155" max="6155" width="10" style="164" customWidth="1"/>
    <col min="6156" max="6156" width="9" style="164"/>
    <col min="6157" max="6157" width="22.5833333333333" style="164" customWidth="1"/>
    <col min="6158" max="6158" width="37.0833333333333" style="164" customWidth="1"/>
    <col min="6159" max="6400" width="9" style="164"/>
    <col min="6401" max="6401" width="9" style="164" hidden="1" customWidth="1"/>
    <col min="6402" max="6402" width="42.5833333333333" style="164" customWidth="1"/>
    <col min="6403" max="6403" width="11.8333333333333" style="164" customWidth="1"/>
    <col min="6404" max="6405" width="12.5" style="164" customWidth="1"/>
    <col min="6406" max="6406" width="13.8333333333333" style="164" customWidth="1"/>
    <col min="6407" max="6407" width="10.8333333333333" style="164" customWidth="1"/>
    <col min="6408" max="6408" width="11.8333333333333" style="164" customWidth="1"/>
    <col min="6409" max="6409" width="11.0833333333333" style="164" customWidth="1"/>
    <col min="6410" max="6410" width="11.3333333333333" style="164" customWidth="1"/>
    <col min="6411" max="6411" width="10" style="164" customWidth="1"/>
    <col min="6412" max="6412" width="9" style="164"/>
    <col min="6413" max="6413" width="22.5833333333333" style="164" customWidth="1"/>
    <col min="6414" max="6414" width="37.0833333333333" style="164" customWidth="1"/>
    <col min="6415" max="6656" width="9" style="164"/>
    <col min="6657" max="6657" width="9" style="164" hidden="1" customWidth="1"/>
    <col min="6658" max="6658" width="42.5833333333333" style="164" customWidth="1"/>
    <col min="6659" max="6659" width="11.8333333333333" style="164" customWidth="1"/>
    <col min="6660" max="6661" width="12.5" style="164" customWidth="1"/>
    <col min="6662" max="6662" width="13.8333333333333" style="164" customWidth="1"/>
    <col min="6663" max="6663" width="10.8333333333333" style="164" customWidth="1"/>
    <col min="6664" max="6664" width="11.8333333333333" style="164" customWidth="1"/>
    <col min="6665" max="6665" width="11.0833333333333" style="164" customWidth="1"/>
    <col min="6666" max="6666" width="11.3333333333333" style="164" customWidth="1"/>
    <col min="6667" max="6667" width="10" style="164" customWidth="1"/>
    <col min="6668" max="6668" width="9" style="164"/>
    <col min="6669" max="6669" width="22.5833333333333" style="164" customWidth="1"/>
    <col min="6670" max="6670" width="37.0833333333333" style="164" customWidth="1"/>
    <col min="6671" max="6912" width="9" style="164"/>
    <col min="6913" max="6913" width="9" style="164" hidden="1" customWidth="1"/>
    <col min="6914" max="6914" width="42.5833333333333" style="164" customWidth="1"/>
    <col min="6915" max="6915" width="11.8333333333333" style="164" customWidth="1"/>
    <col min="6916" max="6917" width="12.5" style="164" customWidth="1"/>
    <col min="6918" max="6918" width="13.8333333333333" style="164" customWidth="1"/>
    <col min="6919" max="6919" width="10.8333333333333" style="164" customWidth="1"/>
    <col min="6920" max="6920" width="11.8333333333333" style="164" customWidth="1"/>
    <col min="6921" max="6921" width="11.0833333333333" style="164" customWidth="1"/>
    <col min="6922" max="6922" width="11.3333333333333" style="164" customWidth="1"/>
    <col min="6923" max="6923" width="10" style="164" customWidth="1"/>
    <col min="6924" max="6924" width="9" style="164"/>
    <col min="6925" max="6925" width="22.5833333333333" style="164" customWidth="1"/>
    <col min="6926" max="6926" width="37.0833333333333" style="164" customWidth="1"/>
    <col min="6927" max="7168" width="9" style="164"/>
    <col min="7169" max="7169" width="9" style="164" hidden="1" customWidth="1"/>
    <col min="7170" max="7170" width="42.5833333333333" style="164" customWidth="1"/>
    <col min="7171" max="7171" width="11.8333333333333" style="164" customWidth="1"/>
    <col min="7172" max="7173" width="12.5" style="164" customWidth="1"/>
    <col min="7174" max="7174" width="13.8333333333333" style="164" customWidth="1"/>
    <col min="7175" max="7175" width="10.8333333333333" style="164" customWidth="1"/>
    <col min="7176" max="7176" width="11.8333333333333" style="164" customWidth="1"/>
    <col min="7177" max="7177" width="11.0833333333333" style="164" customWidth="1"/>
    <col min="7178" max="7178" width="11.3333333333333" style="164" customWidth="1"/>
    <col min="7179" max="7179" width="10" style="164" customWidth="1"/>
    <col min="7180" max="7180" width="9" style="164"/>
    <col min="7181" max="7181" width="22.5833333333333" style="164" customWidth="1"/>
    <col min="7182" max="7182" width="37.0833333333333" style="164" customWidth="1"/>
    <col min="7183" max="7424" width="9" style="164"/>
    <col min="7425" max="7425" width="9" style="164" hidden="1" customWidth="1"/>
    <col min="7426" max="7426" width="42.5833333333333" style="164" customWidth="1"/>
    <col min="7427" max="7427" width="11.8333333333333" style="164" customWidth="1"/>
    <col min="7428" max="7429" width="12.5" style="164" customWidth="1"/>
    <col min="7430" max="7430" width="13.8333333333333" style="164" customWidth="1"/>
    <col min="7431" max="7431" width="10.8333333333333" style="164" customWidth="1"/>
    <col min="7432" max="7432" width="11.8333333333333" style="164" customWidth="1"/>
    <col min="7433" max="7433" width="11.0833333333333" style="164" customWidth="1"/>
    <col min="7434" max="7434" width="11.3333333333333" style="164" customWidth="1"/>
    <col min="7435" max="7435" width="10" style="164" customWidth="1"/>
    <col min="7436" max="7436" width="9" style="164"/>
    <col min="7437" max="7437" width="22.5833333333333" style="164" customWidth="1"/>
    <col min="7438" max="7438" width="37.0833333333333" style="164" customWidth="1"/>
    <col min="7439" max="7680" width="9" style="164"/>
    <col min="7681" max="7681" width="9" style="164" hidden="1" customWidth="1"/>
    <col min="7682" max="7682" width="42.5833333333333" style="164" customWidth="1"/>
    <col min="7683" max="7683" width="11.8333333333333" style="164" customWidth="1"/>
    <col min="7684" max="7685" width="12.5" style="164" customWidth="1"/>
    <col min="7686" max="7686" width="13.8333333333333" style="164" customWidth="1"/>
    <col min="7687" max="7687" width="10.8333333333333" style="164" customWidth="1"/>
    <col min="7688" max="7688" width="11.8333333333333" style="164" customWidth="1"/>
    <col min="7689" max="7689" width="11.0833333333333" style="164" customWidth="1"/>
    <col min="7690" max="7690" width="11.3333333333333" style="164" customWidth="1"/>
    <col min="7691" max="7691" width="10" style="164" customWidth="1"/>
    <col min="7692" max="7692" width="9" style="164"/>
    <col min="7693" max="7693" width="22.5833333333333" style="164" customWidth="1"/>
    <col min="7694" max="7694" width="37.0833333333333" style="164" customWidth="1"/>
    <col min="7695" max="7936" width="9" style="164"/>
    <col min="7937" max="7937" width="9" style="164" hidden="1" customWidth="1"/>
    <col min="7938" max="7938" width="42.5833333333333" style="164" customWidth="1"/>
    <col min="7939" max="7939" width="11.8333333333333" style="164" customWidth="1"/>
    <col min="7940" max="7941" width="12.5" style="164" customWidth="1"/>
    <col min="7942" max="7942" width="13.8333333333333" style="164" customWidth="1"/>
    <col min="7943" max="7943" width="10.8333333333333" style="164" customWidth="1"/>
    <col min="7944" max="7944" width="11.8333333333333" style="164" customWidth="1"/>
    <col min="7945" max="7945" width="11.0833333333333" style="164" customWidth="1"/>
    <col min="7946" max="7946" width="11.3333333333333" style="164" customWidth="1"/>
    <col min="7947" max="7947" width="10" style="164" customWidth="1"/>
    <col min="7948" max="7948" width="9" style="164"/>
    <col min="7949" max="7949" width="22.5833333333333" style="164" customWidth="1"/>
    <col min="7950" max="7950" width="37.0833333333333" style="164" customWidth="1"/>
    <col min="7951" max="8192" width="9" style="164"/>
    <col min="8193" max="8193" width="9" style="164" hidden="1" customWidth="1"/>
    <col min="8194" max="8194" width="42.5833333333333" style="164" customWidth="1"/>
    <col min="8195" max="8195" width="11.8333333333333" style="164" customWidth="1"/>
    <col min="8196" max="8197" width="12.5" style="164" customWidth="1"/>
    <col min="8198" max="8198" width="13.8333333333333" style="164" customWidth="1"/>
    <col min="8199" max="8199" width="10.8333333333333" style="164" customWidth="1"/>
    <col min="8200" max="8200" width="11.8333333333333" style="164" customWidth="1"/>
    <col min="8201" max="8201" width="11.0833333333333" style="164" customWidth="1"/>
    <col min="8202" max="8202" width="11.3333333333333" style="164" customWidth="1"/>
    <col min="8203" max="8203" width="10" style="164" customWidth="1"/>
    <col min="8204" max="8204" width="9" style="164"/>
    <col min="8205" max="8205" width="22.5833333333333" style="164" customWidth="1"/>
    <col min="8206" max="8206" width="37.0833333333333" style="164" customWidth="1"/>
    <col min="8207" max="8448" width="9" style="164"/>
    <col min="8449" max="8449" width="9" style="164" hidden="1" customWidth="1"/>
    <col min="8450" max="8450" width="42.5833333333333" style="164" customWidth="1"/>
    <col min="8451" max="8451" width="11.8333333333333" style="164" customWidth="1"/>
    <col min="8452" max="8453" width="12.5" style="164" customWidth="1"/>
    <col min="8454" max="8454" width="13.8333333333333" style="164" customWidth="1"/>
    <col min="8455" max="8455" width="10.8333333333333" style="164" customWidth="1"/>
    <col min="8456" max="8456" width="11.8333333333333" style="164" customWidth="1"/>
    <col min="8457" max="8457" width="11.0833333333333" style="164" customWidth="1"/>
    <col min="8458" max="8458" width="11.3333333333333" style="164" customWidth="1"/>
    <col min="8459" max="8459" width="10" style="164" customWidth="1"/>
    <col min="8460" max="8460" width="9" style="164"/>
    <col min="8461" max="8461" width="22.5833333333333" style="164" customWidth="1"/>
    <col min="8462" max="8462" width="37.0833333333333" style="164" customWidth="1"/>
    <col min="8463" max="8704" width="9" style="164"/>
    <col min="8705" max="8705" width="9" style="164" hidden="1" customWidth="1"/>
    <col min="8706" max="8706" width="42.5833333333333" style="164" customWidth="1"/>
    <col min="8707" max="8707" width="11.8333333333333" style="164" customWidth="1"/>
    <col min="8708" max="8709" width="12.5" style="164" customWidth="1"/>
    <col min="8710" max="8710" width="13.8333333333333" style="164" customWidth="1"/>
    <col min="8711" max="8711" width="10.8333333333333" style="164" customWidth="1"/>
    <col min="8712" max="8712" width="11.8333333333333" style="164" customWidth="1"/>
    <col min="8713" max="8713" width="11.0833333333333" style="164" customWidth="1"/>
    <col min="8714" max="8714" width="11.3333333333333" style="164" customWidth="1"/>
    <col min="8715" max="8715" width="10" style="164" customWidth="1"/>
    <col min="8716" max="8716" width="9" style="164"/>
    <col min="8717" max="8717" width="22.5833333333333" style="164" customWidth="1"/>
    <col min="8718" max="8718" width="37.0833333333333" style="164" customWidth="1"/>
    <col min="8719" max="8960" width="9" style="164"/>
    <col min="8961" max="8961" width="9" style="164" hidden="1" customWidth="1"/>
    <col min="8962" max="8962" width="42.5833333333333" style="164" customWidth="1"/>
    <col min="8963" max="8963" width="11.8333333333333" style="164" customWidth="1"/>
    <col min="8964" max="8965" width="12.5" style="164" customWidth="1"/>
    <col min="8966" max="8966" width="13.8333333333333" style="164" customWidth="1"/>
    <col min="8967" max="8967" width="10.8333333333333" style="164" customWidth="1"/>
    <col min="8968" max="8968" width="11.8333333333333" style="164" customWidth="1"/>
    <col min="8969" max="8969" width="11.0833333333333" style="164" customWidth="1"/>
    <col min="8970" max="8970" width="11.3333333333333" style="164" customWidth="1"/>
    <col min="8971" max="8971" width="10" style="164" customWidth="1"/>
    <col min="8972" max="8972" width="9" style="164"/>
    <col min="8973" max="8973" width="22.5833333333333" style="164" customWidth="1"/>
    <col min="8974" max="8974" width="37.0833333333333" style="164" customWidth="1"/>
    <col min="8975" max="9216" width="9" style="164"/>
    <col min="9217" max="9217" width="9" style="164" hidden="1" customWidth="1"/>
    <col min="9218" max="9218" width="42.5833333333333" style="164" customWidth="1"/>
    <col min="9219" max="9219" width="11.8333333333333" style="164" customWidth="1"/>
    <col min="9220" max="9221" width="12.5" style="164" customWidth="1"/>
    <col min="9222" max="9222" width="13.8333333333333" style="164" customWidth="1"/>
    <col min="9223" max="9223" width="10.8333333333333" style="164" customWidth="1"/>
    <col min="9224" max="9224" width="11.8333333333333" style="164" customWidth="1"/>
    <col min="9225" max="9225" width="11.0833333333333" style="164" customWidth="1"/>
    <col min="9226" max="9226" width="11.3333333333333" style="164" customWidth="1"/>
    <col min="9227" max="9227" width="10" style="164" customWidth="1"/>
    <col min="9228" max="9228" width="9" style="164"/>
    <col min="9229" max="9229" width="22.5833333333333" style="164" customWidth="1"/>
    <col min="9230" max="9230" width="37.0833333333333" style="164" customWidth="1"/>
    <col min="9231" max="9472" width="9" style="164"/>
    <col min="9473" max="9473" width="9" style="164" hidden="1" customWidth="1"/>
    <col min="9474" max="9474" width="42.5833333333333" style="164" customWidth="1"/>
    <col min="9475" max="9475" width="11.8333333333333" style="164" customWidth="1"/>
    <col min="9476" max="9477" width="12.5" style="164" customWidth="1"/>
    <col min="9478" max="9478" width="13.8333333333333" style="164" customWidth="1"/>
    <col min="9479" max="9479" width="10.8333333333333" style="164" customWidth="1"/>
    <col min="9480" max="9480" width="11.8333333333333" style="164" customWidth="1"/>
    <col min="9481" max="9481" width="11.0833333333333" style="164" customWidth="1"/>
    <col min="9482" max="9482" width="11.3333333333333" style="164" customWidth="1"/>
    <col min="9483" max="9483" width="10" style="164" customWidth="1"/>
    <col min="9484" max="9484" width="9" style="164"/>
    <col min="9485" max="9485" width="22.5833333333333" style="164" customWidth="1"/>
    <col min="9486" max="9486" width="37.0833333333333" style="164" customWidth="1"/>
    <col min="9487" max="9728" width="9" style="164"/>
    <col min="9729" max="9729" width="9" style="164" hidden="1" customWidth="1"/>
    <col min="9730" max="9730" width="42.5833333333333" style="164" customWidth="1"/>
    <col min="9731" max="9731" width="11.8333333333333" style="164" customWidth="1"/>
    <col min="9732" max="9733" width="12.5" style="164" customWidth="1"/>
    <col min="9734" max="9734" width="13.8333333333333" style="164" customWidth="1"/>
    <col min="9735" max="9735" width="10.8333333333333" style="164" customWidth="1"/>
    <col min="9736" max="9736" width="11.8333333333333" style="164" customWidth="1"/>
    <col min="9737" max="9737" width="11.0833333333333" style="164" customWidth="1"/>
    <col min="9738" max="9738" width="11.3333333333333" style="164" customWidth="1"/>
    <col min="9739" max="9739" width="10" style="164" customWidth="1"/>
    <col min="9740" max="9740" width="9" style="164"/>
    <col min="9741" max="9741" width="22.5833333333333" style="164" customWidth="1"/>
    <col min="9742" max="9742" width="37.0833333333333" style="164" customWidth="1"/>
    <col min="9743" max="9984" width="9" style="164"/>
    <col min="9985" max="9985" width="9" style="164" hidden="1" customWidth="1"/>
    <col min="9986" max="9986" width="42.5833333333333" style="164" customWidth="1"/>
    <col min="9987" max="9987" width="11.8333333333333" style="164" customWidth="1"/>
    <col min="9988" max="9989" width="12.5" style="164" customWidth="1"/>
    <col min="9990" max="9990" width="13.8333333333333" style="164" customWidth="1"/>
    <col min="9991" max="9991" width="10.8333333333333" style="164" customWidth="1"/>
    <col min="9992" max="9992" width="11.8333333333333" style="164" customWidth="1"/>
    <col min="9993" max="9993" width="11.0833333333333" style="164" customWidth="1"/>
    <col min="9994" max="9994" width="11.3333333333333" style="164" customWidth="1"/>
    <col min="9995" max="9995" width="10" style="164" customWidth="1"/>
    <col min="9996" max="9996" width="9" style="164"/>
    <col min="9997" max="9997" width="22.5833333333333" style="164" customWidth="1"/>
    <col min="9998" max="9998" width="37.0833333333333" style="164" customWidth="1"/>
    <col min="9999" max="10240" width="9" style="164"/>
    <col min="10241" max="10241" width="9" style="164" hidden="1" customWidth="1"/>
    <col min="10242" max="10242" width="42.5833333333333" style="164" customWidth="1"/>
    <col min="10243" max="10243" width="11.8333333333333" style="164" customWidth="1"/>
    <col min="10244" max="10245" width="12.5" style="164" customWidth="1"/>
    <col min="10246" max="10246" width="13.8333333333333" style="164" customWidth="1"/>
    <col min="10247" max="10247" width="10.8333333333333" style="164" customWidth="1"/>
    <col min="10248" max="10248" width="11.8333333333333" style="164" customWidth="1"/>
    <col min="10249" max="10249" width="11.0833333333333" style="164" customWidth="1"/>
    <col min="10250" max="10250" width="11.3333333333333" style="164" customWidth="1"/>
    <col min="10251" max="10251" width="10" style="164" customWidth="1"/>
    <col min="10252" max="10252" width="9" style="164"/>
    <col min="10253" max="10253" width="22.5833333333333" style="164" customWidth="1"/>
    <col min="10254" max="10254" width="37.0833333333333" style="164" customWidth="1"/>
    <col min="10255" max="10496" width="9" style="164"/>
    <col min="10497" max="10497" width="9" style="164" hidden="1" customWidth="1"/>
    <col min="10498" max="10498" width="42.5833333333333" style="164" customWidth="1"/>
    <col min="10499" max="10499" width="11.8333333333333" style="164" customWidth="1"/>
    <col min="10500" max="10501" width="12.5" style="164" customWidth="1"/>
    <col min="10502" max="10502" width="13.8333333333333" style="164" customWidth="1"/>
    <col min="10503" max="10503" width="10.8333333333333" style="164" customWidth="1"/>
    <col min="10504" max="10504" width="11.8333333333333" style="164" customWidth="1"/>
    <col min="10505" max="10505" width="11.0833333333333" style="164" customWidth="1"/>
    <col min="10506" max="10506" width="11.3333333333333" style="164" customWidth="1"/>
    <col min="10507" max="10507" width="10" style="164" customWidth="1"/>
    <col min="10508" max="10508" width="9" style="164"/>
    <col min="10509" max="10509" width="22.5833333333333" style="164" customWidth="1"/>
    <col min="10510" max="10510" width="37.0833333333333" style="164" customWidth="1"/>
    <col min="10511" max="10752" width="9" style="164"/>
    <col min="10753" max="10753" width="9" style="164" hidden="1" customWidth="1"/>
    <col min="10754" max="10754" width="42.5833333333333" style="164" customWidth="1"/>
    <col min="10755" max="10755" width="11.8333333333333" style="164" customWidth="1"/>
    <col min="10756" max="10757" width="12.5" style="164" customWidth="1"/>
    <col min="10758" max="10758" width="13.8333333333333" style="164" customWidth="1"/>
    <col min="10759" max="10759" width="10.8333333333333" style="164" customWidth="1"/>
    <col min="10760" max="10760" width="11.8333333333333" style="164" customWidth="1"/>
    <col min="10761" max="10761" width="11.0833333333333" style="164" customWidth="1"/>
    <col min="10762" max="10762" width="11.3333333333333" style="164" customWidth="1"/>
    <col min="10763" max="10763" width="10" style="164" customWidth="1"/>
    <col min="10764" max="10764" width="9" style="164"/>
    <col min="10765" max="10765" width="22.5833333333333" style="164" customWidth="1"/>
    <col min="10766" max="10766" width="37.0833333333333" style="164" customWidth="1"/>
    <col min="10767" max="11008" width="9" style="164"/>
    <col min="11009" max="11009" width="9" style="164" hidden="1" customWidth="1"/>
    <col min="11010" max="11010" width="42.5833333333333" style="164" customWidth="1"/>
    <col min="11011" max="11011" width="11.8333333333333" style="164" customWidth="1"/>
    <col min="11012" max="11013" width="12.5" style="164" customWidth="1"/>
    <col min="11014" max="11014" width="13.8333333333333" style="164" customWidth="1"/>
    <col min="11015" max="11015" width="10.8333333333333" style="164" customWidth="1"/>
    <col min="11016" max="11016" width="11.8333333333333" style="164" customWidth="1"/>
    <col min="11017" max="11017" width="11.0833333333333" style="164" customWidth="1"/>
    <col min="11018" max="11018" width="11.3333333333333" style="164" customWidth="1"/>
    <col min="11019" max="11019" width="10" style="164" customWidth="1"/>
    <col min="11020" max="11020" width="9" style="164"/>
    <col min="11021" max="11021" width="22.5833333333333" style="164" customWidth="1"/>
    <col min="11022" max="11022" width="37.0833333333333" style="164" customWidth="1"/>
    <col min="11023" max="11264" width="9" style="164"/>
    <col min="11265" max="11265" width="9" style="164" hidden="1" customWidth="1"/>
    <col min="11266" max="11266" width="42.5833333333333" style="164" customWidth="1"/>
    <col min="11267" max="11267" width="11.8333333333333" style="164" customWidth="1"/>
    <col min="11268" max="11269" width="12.5" style="164" customWidth="1"/>
    <col min="11270" max="11270" width="13.8333333333333" style="164" customWidth="1"/>
    <col min="11271" max="11271" width="10.8333333333333" style="164" customWidth="1"/>
    <col min="11272" max="11272" width="11.8333333333333" style="164" customWidth="1"/>
    <col min="11273" max="11273" width="11.0833333333333" style="164" customWidth="1"/>
    <col min="11274" max="11274" width="11.3333333333333" style="164" customWidth="1"/>
    <col min="11275" max="11275" width="10" style="164" customWidth="1"/>
    <col min="11276" max="11276" width="9" style="164"/>
    <col min="11277" max="11277" width="22.5833333333333" style="164" customWidth="1"/>
    <col min="11278" max="11278" width="37.0833333333333" style="164" customWidth="1"/>
    <col min="11279" max="11520" width="9" style="164"/>
    <col min="11521" max="11521" width="9" style="164" hidden="1" customWidth="1"/>
    <col min="11522" max="11522" width="42.5833333333333" style="164" customWidth="1"/>
    <col min="11523" max="11523" width="11.8333333333333" style="164" customWidth="1"/>
    <col min="11524" max="11525" width="12.5" style="164" customWidth="1"/>
    <col min="11526" max="11526" width="13.8333333333333" style="164" customWidth="1"/>
    <col min="11527" max="11527" width="10.8333333333333" style="164" customWidth="1"/>
    <col min="11528" max="11528" width="11.8333333333333" style="164" customWidth="1"/>
    <col min="11529" max="11529" width="11.0833333333333" style="164" customWidth="1"/>
    <col min="11530" max="11530" width="11.3333333333333" style="164" customWidth="1"/>
    <col min="11531" max="11531" width="10" style="164" customWidth="1"/>
    <col min="11532" max="11532" width="9" style="164"/>
    <col min="11533" max="11533" width="22.5833333333333" style="164" customWidth="1"/>
    <col min="11534" max="11534" width="37.0833333333333" style="164" customWidth="1"/>
    <col min="11535" max="11776" width="9" style="164"/>
    <col min="11777" max="11777" width="9" style="164" hidden="1" customWidth="1"/>
    <col min="11778" max="11778" width="42.5833333333333" style="164" customWidth="1"/>
    <col min="11779" max="11779" width="11.8333333333333" style="164" customWidth="1"/>
    <col min="11780" max="11781" width="12.5" style="164" customWidth="1"/>
    <col min="11782" max="11782" width="13.8333333333333" style="164" customWidth="1"/>
    <col min="11783" max="11783" width="10.8333333333333" style="164" customWidth="1"/>
    <col min="11784" max="11784" width="11.8333333333333" style="164" customWidth="1"/>
    <col min="11785" max="11785" width="11.0833333333333" style="164" customWidth="1"/>
    <col min="11786" max="11786" width="11.3333333333333" style="164" customWidth="1"/>
    <col min="11787" max="11787" width="10" style="164" customWidth="1"/>
    <col min="11788" max="11788" width="9" style="164"/>
    <col min="11789" max="11789" width="22.5833333333333" style="164" customWidth="1"/>
    <col min="11790" max="11790" width="37.0833333333333" style="164" customWidth="1"/>
    <col min="11791" max="12032" width="9" style="164"/>
    <col min="12033" max="12033" width="9" style="164" hidden="1" customWidth="1"/>
    <col min="12034" max="12034" width="42.5833333333333" style="164" customWidth="1"/>
    <col min="12035" max="12035" width="11.8333333333333" style="164" customWidth="1"/>
    <col min="12036" max="12037" width="12.5" style="164" customWidth="1"/>
    <col min="12038" max="12038" width="13.8333333333333" style="164" customWidth="1"/>
    <col min="12039" max="12039" width="10.8333333333333" style="164" customWidth="1"/>
    <col min="12040" max="12040" width="11.8333333333333" style="164" customWidth="1"/>
    <col min="12041" max="12041" width="11.0833333333333" style="164" customWidth="1"/>
    <col min="12042" max="12042" width="11.3333333333333" style="164" customWidth="1"/>
    <col min="12043" max="12043" width="10" style="164" customWidth="1"/>
    <col min="12044" max="12044" width="9" style="164"/>
    <col min="12045" max="12045" width="22.5833333333333" style="164" customWidth="1"/>
    <col min="12046" max="12046" width="37.0833333333333" style="164" customWidth="1"/>
    <col min="12047" max="12288" width="9" style="164"/>
    <col min="12289" max="12289" width="9" style="164" hidden="1" customWidth="1"/>
    <col min="12290" max="12290" width="42.5833333333333" style="164" customWidth="1"/>
    <col min="12291" max="12291" width="11.8333333333333" style="164" customWidth="1"/>
    <col min="12292" max="12293" width="12.5" style="164" customWidth="1"/>
    <col min="12294" max="12294" width="13.8333333333333" style="164" customWidth="1"/>
    <col min="12295" max="12295" width="10.8333333333333" style="164" customWidth="1"/>
    <col min="12296" max="12296" width="11.8333333333333" style="164" customWidth="1"/>
    <col min="12297" max="12297" width="11.0833333333333" style="164" customWidth="1"/>
    <col min="12298" max="12298" width="11.3333333333333" style="164" customWidth="1"/>
    <col min="12299" max="12299" width="10" style="164" customWidth="1"/>
    <col min="12300" max="12300" width="9" style="164"/>
    <col min="12301" max="12301" width="22.5833333333333" style="164" customWidth="1"/>
    <col min="12302" max="12302" width="37.0833333333333" style="164" customWidth="1"/>
    <col min="12303" max="12544" width="9" style="164"/>
    <col min="12545" max="12545" width="9" style="164" hidden="1" customWidth="1"/>
    <col min="12546" max="12546" width="42.5833333333333" style="164" customWidth="1"/>
    <col min="12547" max="12547" width="11.8333333333333" style="164" customWidth="1"/>
    <col min="12548" max="12549" width="12.5" style="164" customWidth="1"/>
    <col min="12550" max="12550" width="13.8333333333333" style="164" customWidth="1"/>
    <col min="12551" max="12551" width="10.8333333333333" style="164" customWidth="1"/>
    <col min="12552" max="12552" width="11.8333333333333" style="164" customWidth="1"/>
    <col min="12553" max="12553" width="11.0833333333333" style="164" customWidth="1"/>
    <col min="12554" max="12554" width="11.3333333333333" style="164" customWidth="1"/>
    <col min="12555" max="12555" width="10" style="164" customWidth="1"/>
    <col min="12556" max="12556" width="9" style="164"/>
    <col min="12557" max="12557" width="22.5833333333333" style="164" customWidth="1"/>
    <col min="12558" max="12558" width="37.0833333333333" style="164" customWidth="1"/>
    <col min="12559" max="12800" width="9" style="164"/>
    <col min="12801" max="12801" width="9" style="164" hidden="1" customWidth="1"/>
    <col min="12802" max="12802" width="42.5833333333333" style="164" customWidth="1"/>
    <col min="12803" max="12803" width="11.8333333333333" style="164" customWidth="1"/>
    <col min="12804" max="12805" width="12.5" style="164" customWidth="1"/>
    <col min="12806" max="12806" width="13.8333333333333" style="164" customWidth="1"/>
    <col min="12807" max="12807" width="10.8333333333333" style="164" customWidth="1"/>
    <col min="12808" max="12808" width="11.8333333333333" style="164" customWidth="1"/>
    <col min="12809" max="12809" width="11.0833333333333" style="164" customWidth="1"/>
    <col min="12810" max="12810" width="11.3333333333333" style="164" customWidth="1"/>
    <col min="12811" max="12811" width="10" style="164" customWidth="1"/>
    <col min="12812" max="12812" width="9" style="164"/>
    <col min="12813" max="12813" width="22.5833333333333" style="164" customWidth="1"/>
    <col min="12814" max="12814" width="37.0833333333333" style="164" customWidth="1"/>
    <col min="12815" max="13056" width="9" style="164"/>
    <col min="13057" max="13057" width="9" style="164" hidden="1" customWidth="1"/>
    <col min="13058" max="13058" width="42.5833333333333" style="164" customWidth="1"/>
    <col min="13059" max="13059" width="11.8333333333333" style="164" customWidth="1"/>
    <col min="13060" max="13061" width="12.5" style="164" customWidth="1"/>
    <col min="13062" max="13062" width="13.8333333333333" style="164" customWidth="1"/>
    <col min="13063" max="13063" width="10.8333333333333" style="164" customWidth="1"/>
    <col min="13064" max="13064" width="11.8333333333333" style="164" customWidth="1"/>
    <col min="13065" max="13065" width="11.0833333333333" style="164" customWidth="1"/>
    <col min="13066" max="13066" width="11.3333333333333" style="164" customWidth="1"/>
    <col min="13067" max="13067" width="10" style="164" customWidth="1"/>
    <col min="13068" max="13068" width="9" style="164"/>
    <col min="13069" max="13069" width="22.5833333333333" style="164" customWidth="1"/>
    <col min="13070" max="13070" width="37.0833333333333" style="164" customWidth="1"/>
    <col min="13071" max="13312" width="9" style="164"/>
    <col min="13313" max="13313" width="9" style="164" hidden="1" customWidth="1"/>
    <col min="13314" max="13314" width="42.5833333333333" style="164" customWidth="1"/>
    <col min="13315" max="13315" width="11.8333333333333" style="164" customWidth="1"/>
    <col min="13316" max="13317" width="12.5" style="164" customWidth="1"/>
    <col min="13318" max="13318" width="13.8333333333333" style="164" customWidth="1"/>
    <col min="13319" max="13319" width="10.8333333333333" style="164" customWidth="1"/>
    <col min="13320" max="13320" width="11.8333333333333" style="164" customWidth="1"/>
    <col min="13321" max="13321" width="11.0833333333333" style="164" customWidth="1"/>
    <col min="13322" max="13322" width="11.3333333333333" style="164" customWidth="1"/>
    <col min="13323" max="13323" width="10" style="164" customWidth="1"/>
    <col min="13324" max="13324" width="9" style="164"/>
    <col min="13325" max="13325" width="22.5833333333333" style="164" customWidth="1"/>
    <col min="13326" max="13326" width="37.0833333333333" style="164" customWidth="1"/>
    <col min="13327" max="13568" width="9" style="164"/>
    <col min="13569" max="13569" width="9" style="164" hidden="1" customWidth="1"/>
    <col min="13570" max="13570" width="42.5833333333333" style="164" customWidth="1"/>
    <col min="13571" max="13571" width="11.8333333333333" style="164" customWidth="1"/>
    <col min="13572" max="13573" width="12.5" style="164" customWidth="1"/>
    <col min="13574" max="13574" width="13.8333333333333" style="164" customWidth="1"/>
    <col min="13575" max="13575" width="10.8333333333333" style="164" customWidth="1"/>
    <col min="13576" max="13576" width="11.8333333333333" style="164" customWidth="1"/>
    <col min="13577" max="13577" width="11.0833333333333" style="164" customWidth="1"/>
    <col min="13578" max="13578" width="11.3333333333333" style="164" customWidth="1"/>
    <col min="13579" max="13579" width="10" style="164" customWidth="1"/>
    <col min="13580" max="13580" width="9" style="164"/>
    <col min="13581" max="13581" width="22.5833333333333" style="164" customWidth="1"/>
    <col min="13582" max="13582" width="37.0833333333333" style="164" customWidth="1"/>
    <col min="13583" max="13824" width="9" style="164"/>
    <col min="13825" max="13825" width="9" style="164" hidden="1" customWidth="1"/>
    <col min="13826" max="13826" width="42.5833333333333" style="164" customWidth="1"/>
    <col min="13827" max="13827" width="11.8333333333333" style="164" customWidth="1"/>
    <col min="13828" max="13829" width="12.5" style="164" customWidth="1"/>
    <col min="13830" max="13830" width="13.8333333333333" style="164" customWidth="1"/>
    <col min="13831" max="13831" width="10.8333333333333" style="164" customWidth="1"/>
    <col min="13832" max="13832" width="11.8333333333333" style="164" customWidth="1"/>
    <col min="13833" max="13833" width="11.0833333333333" style="164" customWidth="1"/>
    <col min="13834" max="13834" width="11.3333333333333" style="164" customWidth="1"/>
    <col min="13835" max="13835" width="10" style="164" customWidth="1"/>
    <col min="13836" max="13836" width="9" style="164"/>
    <col min="13837" max="13837" width="22.5833333333333" style="164" customWidth="1"/>
    <col min="13838" max="13838" width="37.0833333333333" style="164" customWidth="1"/>
    <col min="13839" max="14080" width="9" style="164"/>
    <col min="14081" max="14081" width="9" style="164" hidden="1" customWidth="1"/>
    <col min="14082" max="14082" width="42.5833333333333" style="164" customWidth="1"/>
    <col min="14083" max="14083" width="11.8333333333333" style="164" customWidth="1"/>
    <col min="14084" max="14085" width="12.5" style="164" customWidth="1"/>
    <col min="14086" max="14086" width="13.8333333333333" style="164" customWidth="1"/>
    <col min="14087" max="14087" width="10.8333333333333" style="164" customWidth="1"/>
    <col min="14088" max="14088" width="11.8333333333333" style="164" customWidth="1"/>
    <col min="14089" max="14089" width="11.0833333333333" style="164" customWidth="1"/>
    <col min="14090" max="14090" width="11.3333333333333" style="164" customWidth="1"/>
    <col min="14091" max="14091" width="10" style="164" customWidth="1"/>
    <col min="14092" max="14092" width="9" style="164"/>
    <col min="14093" max="14093" width="22.5833333333333" style="164" customWidth="1"/>
    <col min="14094" max="14094" width="37.0833333333333" style="164" customWidth="1"/>
    <col min="14095" max="14336" width="9" style="164"/>
    <col min="14337" max="14337" width="9" style="164" hidden="1" customWidth="1"/>
    <col min="14338" max="14338" width="42.5833333333333" style="164" customWidth="1"/>
    <col min="14339" max="14339" width="11.8333333333333" style="164" customWidth="1"/>
    <col min="14340" max="14341" width="12.5" style="164" customWidth="1"/>
    <col min="14342" max="14342" width="13.8333333333333" style="164" customWidth="1"/>
    <col min="14343" max="14343" width="10.8333333333333" style="164" customWidth="1"/>
    <col min="14344" max="14344" width="11.8333333333333" style="164" customWidth="1"/>
    <col min="14345" max="14345" width="11.0833333333333" style="164" customWidth="1"/>
    <col min="14346" max="14346" width="11.3333333333333" style="164" customWidth="1"/>
    <col min="14347" max="14347" width="10" style="164" customWidth="1"/>
    <col min="14348" max="14348" width="9" style="164"/>
    <col min="14349" max="14349" width="22.5833333333333" style="164" customWidth="1"/>
    <col min="14350" max="14350" width="37.0833333333333" style="164" customWidth="1"/>
    <col min="14351" max="14592" width="9" style="164"/>
    <col min="14593" max="14593" width="9" style="164" hidden="1" customWidth="1"/>
    <col min="14594" max="14594" width="42.5833333333333" style="164" customWidth="1"/>
    <col min="14595" max="14595" width="11.8333333333333" style="164" customWidth="1"/>
    <col min="14596" max="14597" width="12.5" style="164" customWidth="1"/>
    <col min="14598" max="14598" width="13.8333333333333" style="164" customWidth="1"/>
    <col min="14599" max="14599" width="10.8333333333333" style="164" customWidth="1"/>
    <col min="14600" max="14600" width="11.8333333333333" style="164" customWidth="1"/>
    <col min="14601" max="14601" width="11.0833333333333" style="164" customWidth="1"/>
    <col min="14602" max="14602" width="11.3333333333333" style="164" customWidth="1"/>
    <col min="14603" max="14603" width="10" style="164" customWidth="1"/>
    <col min="14604" max="14604" width="9" style="164"/>
    <col min="14605" max="14605" width="22.5833333333333" style="164" customWidth="1"/>
    <col min="14606" max="14606" width="37.0833333333333" style="164" customWidth="1"/>
    <col min="14607" max="14848" width="9" style="164"/>
    <col min="14849" max="14849" width="9" style="164" hidden="1" customWidth="1"/>
    <col min="14850" max="14850" width="42.5833333333333" style="164" customWidth="1"/>
    <col min="14851" max="14851" width="11.8333333333333" style="164" customWidth="1"/>
    <col min="14852" max="14853" width="12.5" style="164" customWidth="1"/>
    <col min="14854" max="14854" width="13.8333333333333" style="164" customWidth="1"/>
    <col min="14855" max="14855" width="10.8333333333333" style="164" customWidth="1"/>
    <col min="14856" max="14856" width="11.8333333333333" style="164" customWidth="1"/>
    <col min="14857" max="14857" width="11.0833333333333" style="164" customWidth="1"/>
    <col min="14858" max="14858" width="11.3333333333333" style="164" customWidth="1"/>
    <col min="14859" max="14859" width="10" style="164" customWidth="1"/>
    <col min="14860" max="14860" width="9" style="164"/>
    <col min="14861" max="14861" width="22.5833333333333" style="164" customWidth="1"/>
    <col min="14862" max="14862" width="37.0833333333333" style="164" customWidth="1"/>
    <col min="14863" max="15104" width="9" style="164"/>
    <col min="15105" max="15105" width="9" style="164" hidden="1" customWidth="1"/>
    <col min="15106" max="15106" width="42.5833333333333" style="164" customWidth="1"/>
    <col min="15107" max="15107" width="11.8333333333333" style="164" customWidth="1"/>
    <col min="15108" max="15109" width="12.5" style="164" customWidth="1"/>
    <col min="15110" max="15110" width="13.8333333333333" style="164" customWidth="1"/>
    <col min="15111" max="15111" width="10.8333333333333" style="164" customWidth="1"/>
    <col min="15112" max="15112" width="11.8333333333333" style="164" customWidth="1"/>
    <col min="15113" max="15113" width="11.0833333333333" style="164" customWidth="1"/>
    <col min="15114" max="15114" width="11.3333333333333" style="164" customWidth="1"/>
    <col min="15115" max="15115" width="10" style="164" customWidth="1"/>
    <col min="15116" max="15116" width="9" style="164"/>
    <col min="15117" max="15117" width="22.5833333333333" style="164" customWidth="1"/>
    <col min="15118" max="15118" width="37.0833333333333" style="164" customWidth="1"/>
    <col min="15119" max="15360" width="9" style="164"/>
    <col min="15361" max="15361" width="9" style="164" hidden="1" customWidth="1"/>
    <col min="15362" max="15362" width="42.5833333333333" style="164" customWidth="1"/>
    <col min="15363" max="15363" width="11.8333333333333" style="164" customWidth="1"/>
    <col min="15364" max="15365" width="12.5" style="164" customWidth="1"/>
    <col min="15366" max="15366" width="13.8333333333333" style="164" customWidth="1"/>
    <col min="15367" max="15367" width="10.8333333333333" style="164" customWidth="1"/>
    <col min="15368" max="15368" width="11.8333333333333" style="164" customWidth="1"/>
    <col min="15369" max="15369" width="11.0833333333333" style="164" customWidth="1"/>
    <col min="15370" max="15370" width="11.3333333333333" style="164" customWidth="1"/>
    <col min="15371" max="15371" width="10" style="164" customWidth="1"/>
    <col min="15372" max="15372" width="9" style="164"/>
    <col min="15373" max="15373" width="22.5833333333333" style="164" customWidth="1"/>
    <col min="15374" max="15374" width="37.0833333333333" style="164" customWidth="1"/>
    <col min="15375" max="15616" width="9" style="164"/>
    <col min="15617" max="15617" width="9" style="164" hidden="1" customWidth="1"/>
    <col min="15618" max="15618" width="42.5833333333333" style="164" customWidth="1"/>
    <col min="15619" max="15619" width="11.8333333333333" style="164" customWidth="1"/>
    <col min="15620" max="15621" width="12.5" style="164" customWidth="1"/>
    <col min="15622" max="15622" width="13.8333333333333" style="164" customWidth="1"/>
    <col min="15623" max="15623" width="10.8333333333333" style="164" customWidth="1"/>
    <col min="15624" max="15624" width="11.8333333333333" style="164" customWidth="1"/>
    <col min="15625" max="15625" width="11.0833333333333" style="164" customWidth="1"/>
    <col min="15626" max="15626" width="11.3333333333333" style="164" customWidth="1"/>
    <col min="15627" max="15627" width="10" style="164" customWidth="1"/>
    <col min="15628" max="15628" width="9" style="164"/>
    <col min="15629" max="15629" width="22.5833333333333" style="164" customWidth="1"/>
    <col min="15630" max="15630" width="37.0833333333333" style="164" customWidth="1"/>
    <col min="15631" max="15872" width="9" style="164"/>
    <col min="15873" max="15873" width="9" style="164" hidden="1" customWidth="1"/>
    <col min="15874" max="15874" width="42.5833333333333" style="164" customWidth="1"/>
    <col min="15875" max="15875" width="11.8333333333333" style="164" customWidth="1"/>
    <col min="15876" max="15877" width="12.5" style="164" customWidth="1"/>
    <col min="15878" max="15878" width="13.8333333333333" style="164" customWidth="1"/>
    <col min="15879" max="15879" width="10.8333333333333" style="164" customWidth="1"/>
    <col min="15880" max="15880" width="11.8333333333333" style="164" customWidth="1"/>
    <col min="15881" max="15881" width="11.0833333333333" style="164" customWidth="1"/>
    <col min="15882" max="15882" width="11.3333333333333" style="164" customWidth="1"/>
    <col min="15883" max="15883" width="10" style="164" customWidth="1"/>
    <col min="15884" max="15884" width="9" style="164"/>
    <col min="15885" max="15885" width="22.5833333333333" style="164" customWidth="1"/>
    <col min="15886" max="15886" width="37.0833333333333" style="164" customWidth="1"/>
    <col min="15887" max="16128" width="9" style="164"/>
    <col min="16129" max="16129" width="9" style="164" hidden="1" customWidth="1"/>
    <col min="16130" max="16130" width="42.5833333333333" style="164" customWidth="1"/>
    <col min="16131" max="16131" width="11.8333333333333" style="164" customWidth="1"/>
    <col min="16132" max="16133" width="12.5" style="164" customWidth="1"/>
    <col min="16134" max="16134" width="13.8333333333333" style="164" customWidth="1"/>
    <col min="16135" max="16135" width="10.8333333333333" style="164" customWidth="1"/>
    <col min="16136" max="16136" width="11.8333333333333" style="164" customWidth="1"/>
    <col min="16137" max="16137" width="11.0833333333333" style="164" customWidth="1"/>
    <col min="16138" max="16138" width="11.3333333333333" style="164" customWidth="1"/>
    <col min="16139" max="16139" width="10" style="164" customWidth="1"/>
    <col min="16140" max="16140" width="9" style="164"/>
    <col min="16141" max="16141" width="22.5833333333333" style="164" customWidth="1"/>
    <col min="16142" max="16142" width="37.0833333333333" style="164" customWidth="1"/>
    <col min="16143" max="16384" width="9" style="164"/>
  </cols>
  <sheetData>
    <row r="1" ht="26.25" customHeight="1" spans="2:11">
      <c r="B1" s="122" t="s">
        <v>1499</v>
      </c>
      <c r="C1" s="168"/>
      <c r="D1" s="169"/>
      <c r="E1" s="165"/>
      <c r="I1" s="168"/>
      <c r="K1" s="165"/>
    </row>
    <row r="2" ht="34.5" customHeight="1" spans="2:12">
      <c r="B2" s="170" t="s">
        <v>1500</v>
      </c>
      <c r="C2" s="170"/>
      <c r="D2" s="170"/>
      <c r="E2" s="170"/>
      <c r="F2" s="170"/>
      <c r="G2" s="170"/>
      <c r="H2" s="170"/>
      <c r="I2" s="170"/>
      <c r="J2" s="170"/>
      <c r="K2" s="170"/>
      <c r="L2" s="188"/>
    </row>
    <row r="3" ht="17.25" customHeight="1" spans="2:12">
      <c r="B3" s="171" t="s">
        <v>1055</v>
      </c>
      <c r="C3" s="171"/>
      <c r="D3" s="171"/>
      <c r="E3" s="171"/>
      <c r="F3" s="171"/>
      <c r="G3" s="171"/>
      <c r="H3" s="171"/>
      <c r="I3" s="171"/>
      <c r="J3" s="171"/>
      <c r="K3" s="171"/>
      <c r="L3" s="188"/>
    </row>
    <row r="4" ht="21" customHeight="1" spans="1:12">
      <c r="A4" s="172" t="s">
        <v>1501</v>
      </c>
      <c r="B4" s="148" t="s">
        <v>1502</v>
      </c>
      <c r="C4" s="126" t="s">
        <v>1197</v>
      </c>
      <c r="D4" s="127"/>
      <c r="E4" s="127"/>
      <c r="F4" s="127"/>
      <c r="G4" s="127"/>
      <c r="H4" s="147"/>
      <c r="I4" s="148" t="s">
        <v>36</v>
      </c>
      <c r="J4" s="148"/>
      <c r="K4" s="148"/>
      <c r="L4" s="189"/>
    </row>
    <row r="5" ht="21" customHeight="1" spans="1:12">
      <c r="A5" s="172"/>
      <c r="B5" s="148"/>
      <c r="C5" s="148" t="s">
        <v>1503</v>
      </c>
      <c r="D5" s="173" t="s">
        <v>38</v>
      </c>
      <c r="E5" s="149" t="s">
        <v>39</v>
      </c>
      <c r="F5" s="185" t="s">
        <v>1504</v>
      </c>
      <c r="G5" s="150" t="s">
        <v>1200</v>
      </c>
      <c r="H5" s="150"/>
      <c r="I5" s="190" t="s">
        <v>42</v>
      </c>
      <c r="J5" s="157" t="s">
        <v>43</v>
      </c>
      <c r="K5" s="157"/>
      <c r="L5" s="189"/>
    </row>
    <row r="6" ht="21" customHeight="1" spans="1:12">
      <c r="A6" s="172"/>
      <c r="B6" s="148"/>
      <c r="C6" s="148"/>
      <c r="D6" s="174"/>
      <c r="E6" s="152"/>
      <c r="F6" s="186"/>
      <c r="G6" s="150" t="s">
        <v>44</v>
      </c>
      <c r="H6" s="150" t="s">
        <v>45</v>
      </c>
      <c r="I6" s="191"/>
      <c r="J6" s="158" t="s">
        <v>44</v>
      </c>
      <c r="K6" s="158" t="s">
        <v>45</v>
      </c>
      <c r="L6" s="189"/>
    </row>
    <row r="7" s="117" customFormat="1" ht="20.25" customHeight="1" spans="1:12">
      <c r="A7" s="175">
        <v>1030601</v>
      </c>
      <c r="B7" s="176" t="s">
        <v>1505</v>
      </c>
      <c r="C7" s="138">
        <f t="shared" ref="C7:F7" si="0">SUM(C8:C38)</f>
        <v>12110</v>
      </c>
      <c r="D7" s="138">
        <f t="shared" si="0"/>
        <v>2635</v>
      </c>
      <c r="E7" s="136">
        <f>D7/C7*100</f>
        <v>21.7588769611891</v>
      </c>
      <c r="F7" s="138">
        <f t="shared" si="0"/>
        <v>1555</v>
      </c>
      <c r="G7" s="138">
        <f>D7-F7</f>
        <v>1080</v>
      </c>
      <c r="H7" s="136">
        <f>G7/F7*100</f>
        <v>69.4533762057878</v>
      </c>
      <c r="I7" s="138">
        <f>SUM(I8:I38)</f>
        <v>3500</v>
      </c>
      <c r="J7" s="138">
        <f t="shared" ref="J7:J55" si="1">I7-D7</f>
        <v>865</v>
      </c>
      <c r="K7" s="136">
        <f>J7/D7*100</f>
        <v>32.8273244781784</v>
      </c>
      <c r="L7" s="189"/>
    </row>
    <row r="8" s="117" customFormat="1" ht="17.25" customHeight="1" spans="1:12">
      <c r="A8" s="177">
        <v>103060103</v>
      </c>
      <c r="B8" s="178" t="s">
        <v>1506</v>
      </c>
      <c r="C8" s="138"/>
      <c r="D8" s="179"/>
      <c r="E8" s="136"/>
      <c r="F8" s="138"/>
      <c r="G8" s="138"/>
      <c r="H8" s="136"/>
      <c r="I8" s="138"/>
      <c r="J8" s="138">
        <f t="shared" si="1"/>
        <v>0</v>
      </c>
      <c r="K8" s="136"/>
      <c r="L8" s="189"/>
    </row>
    <row r="9" s="117" customFormat="1" ht="17.25" customHeight="1" spans="1:12">
      <c r="A9" s="177">
        <v>103060104</v>
      </c>
      <c r="B9" s="178" t="s">
        <v>1507</v>
      </c>
      <c r="C9" s="138"/>
      <c r="D9" s="179"/>
      <c r="E9" s="136"/>
      <c r="F9" s="138"/>
      <c r="G9" s="138"/>
      <c r="H9" s="136"/>
      <c r="I9" s="138"/>
      <c r="J9" s="138">
        <f t="shared" si="1"/>
        <v>0</v>
      </c>
      <c r="K9" s="136"/>
      <c r="L9" s="189"/>
    </row>
    <row r="10" s="117" customFormat="1" ht="17.25" customHeight="1" spans="1:12">
      <c r="A10" s="177">
        <v>103060105</v>
      </c>
      <c r="B10" s="178" t="s">
        <v>1508</v>
      </c>
      <c r="C10" s="138"/>
      <c r="D10" s="179"/>
      <c r="E10" s="136"/>
      <c r="F10" s="138"/>
      <c r="G10" s="138"/>
      <c r="H10" s="136"/>
      <c r="I10" s="138"/>
      <c r="J10" s="138">
        <f t="shared" si="1"/>
        <v>0</v>
      </c>
      <c r="K10" s="136"/>
      <c r="L10" s="189"/>
    </row>
    <row r="11" s="117" customFormat="1" ht="17.25" customHeight="1" spans="1:12">
      <c r="A11" s="177">
        <v>103060106</v>
      </c>
      <c r="B11" s="178" t="s">
        <v>1509</v>
      </c>
      <c r="C11" s="138"/>
      <c r="D11" s="179"/>
      <c r="E11" s="136"/>
      <c r="F11" s="138"/>
      <c r="G11" s="138"/>
      <c r="H11" s="136"/>
      <c r="I11" s="138"/>
      <c r="J11" s="138">
        <f t="shared" si="1"/>
        <v>0</v>
      </c>
      <c r="K11" s="136"/>
      <c r="L11" s="189"/>
    </row>
    <row r="12" s="117" customFormat="1" ht="17.25" customHeight="1" spans="1:12">
      <c r="A12" s="177">
        <v>103060107</v>
      </c>
      <c r="B12" s="178" t="s">
        <v>1510</v>
      </c>
      <c r="C12" s="138"/>
      <c r="D12" s="179"/>
      <c r="E12" s="136"/>
      <c r="F12" s="138"/>
      <c r="G12" s="138"/>
      <c r="H12" s="136"/>
      <c r="I12" s="138"/>
      <c r="J12" s="138">
        <f t="shared" si="1"/>
        <v>0</v>
      </c>
      <c r="K12" s="136"/>
      <c r="L12" s="189"/>
    </row>
    <row r="13" s="117" customFormat="1" ht="17.25" customHeight="1" spans="1:12">
      <c r="A13" s="177">
        <v>103060108</v>
      </c>
      <c r="B13" s="178" t="s">
        <v>1511</v>
      </c>
      <c r="C13" s="138"/>
      <c r="D13" s="179"/>
      <c r="E13" s="136"/>
      <c r="F13" s="138"/>
      <c r="G13" s="138"/>
      <c r="H13" s="136"/>
      <c r="I13" s="138"/>
      <c r="J13" s="138">
        <f t="shared" si="1"/>
        <v>0</v>
      </c>
      <c r="K13" s="136"/>
      <c r="L13" s="189"/>
    </row>
    <row r="14" s="117" customFormat="1" ht="17.25" customHeight="1" spans="1:12">
      <c r="A14" s="177">
        <v>103060109</v>
      </c>
      <c r="B14" s="178" t="s">
        <v>1512</v>
      </c>
      <c r="C14" s="138"/>
      <c r="D14" s="179"/>
      <c r="E14" s="136"/>
      <c r="F14" s="138"/>
      <c r="G14" s="138"/>
      <c r="H14" s="136"/>
      <c r="I14" s="138"/>
      <c r="J14" s="138">
        <f t="shared" si="1"/>
        <v>0</v>
      </c>
      <c r="K14" s="136"/>
      <c r="L14" s="189"/>
    </row>
    <row r="15" s="117" customFormat="1" ht="17.25" customHeight="1" spans="1:12">
      <c r="A15" s="177">
        <v>103060112</v>
      </c>
      <c r="B15" s="178" t="s">
        <v>1513</v>
      </c>
      <c r="C15" s="138"/>
      <c r="D15" s="179"/>
      <c r="E15" s="136"/>
      <c r="F15" s="138"/>
      <c r="G15" s="138"/>
      <c r="H15" s="136"/>
      <c r="I15" s="138"/>
      <c r="J15" s="138">
        <f t="shared" si="1"/>
        <v>0</v>
      </c>
      <c r="K15" s="136"/>
      <c r="L15" s="189"/>
    </row>
    <row r="16" ht="17.25" customHeight="1" spans="1:12">
      <c r="A16" s="177">
        <v>103060113</v>
      </c>
      <c r="B16" s="178" t="s">
        <v>1514</v>
      </c>
      <c r="C16" s="138"/>
      <c r="D16" s="179"/>
      <c r="E16" s="136"/>
      <c r="F16" s="138"/>
      <c r="G16" s="138"/>
      <c r="H16" s="136"/>
      <c r="I16" s="138"/>
      <c r="J16" s="138">
        <f t="shared" si="1"/>
        <v>0</v>
      </c>
      <c r="K16" s="136"/>
      <c r="L16" s="192"/>
    </row>
    <row r="17" ht="17.25" customHeight="1" spans="1:12">
      <c r="A17" s="177">
        <v>103060114</v>
      </c>
      <c r="B17" s="178" t="s">
        <v>1515</v>
      </c>
      <c r="C17" s="138"/>
      <c r="D17" s="179"/>
      <c r="E17" s="136"/>
      <c r="F17" s="138"/>
      <c r="G17" s="138"/>
      <c r="H17" s="136"/>
      <c r="I17" s="138"/>
      <c r="J17" s="138">
        <f t="shared" si="1"/>
        <v>0</v>
      </c>
      <c r="K17" s="136"/>
      <c r="L17" s="192"/>
    </row>
    <row r="18" ht="17.25" customHeight="1" spans="1:12">
      <c r="A18" s="177">
        <v>103060115</v>
      </c>
      <c r="B18" s="178" t="s">
        <v>1516</v>
      </c>
      <c r="C18" s="138"/>
      <c r="D18" s="179"/>
      <c r="E18" s="136"/>
      <c r="F18" s="138"/>
      <c r="G18" s="138"/>
      <c r="H18" s="136"/>
      <c r="I18" s="138"/>
      <c r="J18" s="138">
        <f t="shared" si="1"/>
        <v>0</v>
      </c>
      <c r="K18" s="136"/>
      <c r="L18" s="192"/>
    </row>
    <row r="19" ht="17.25" customHeight="1" spans="1:12">
      <c r="A19" s="177">
        <v>103060116</v>
      </c>
      <c r="B19" s="178" t="s">
        <v>1517</v>
      </c>
      <c r="C19" s="138"/>
      <c r="D19" s="179"/>
      <c r="E19" s="136"/>
      <c r="F19" s="138"/>
      <c r="G19" s="138"/>
      <c r="H19" s="136"/>
      <c r="I19" s="138"/>
      <c r="J19" s="138">
        <f t="shared" si="1"/>
        <v>0</v>
      </c>
      <c r="K19" s="136"/>
      <c r="L19" s="192"/>
    </row>
    <row r="20" ht="17.25" customHeight="1" spans="1:12">
      <c r="A20" s="177">
        <v>103060117</v>
      </c>
      <c r="B20" s="178" t="s">
        <v>1518</v>
      </c>
      <c r="C20" s="138"/>
      <c r="D20" s="179"/>
      <c r="E20" s="136"/>
      <c r="F20" s="138"/>
      <c r="G20" s="138"/>
      <c r="H20" s="136"/>
      <c r="I20" s="138"/>
      <c r="J20" s="138">
        <f t="shared" si="1"/>
        <v>0</v>
      </c>
      <c r="K20" s="136"/>
      <c r="L20" s="192"/>
    </row>
    <row r="21" ht="17.25" customHeight="1" spans="1:12">
      <c r="A21" s="177">
        <v>103060118</v>
      </c>
      <c r="B21" s="178" t="s">
        <v>1519</v>
      </c>
      <c r="C21" s="138"/>
      <c r="D21" s="179"/>
      <c r="E21" s="136"/>
      <c r="F21" s="138"/>
      <c r="G21" s="138"/>
      <c r="H21" s="136"/>
      <c r="I21" s="138"/>
      <c r="J21" s="138">
        <f t="shared" si="1"/>
        <v>0</v>
      </c>
      <c r="K21" s="136"/>
      <c r="L21" s="192"/>
    </row>
    <row r="22" ht="17.25" customHeight="1" spans="1:12">
      <c r="A22" s="177">
        <v>103060119</v>
      </c>
      <c r="B22" s="178" t="s">
        <v>1520</v>
      </c>
      <c r="C22" s="138"/>
      <c r="D22" s="179"/>
      <c r="E22" s="136"/>
      <c r="F22" s="138"/>
      <c r="G22" s="138"/>
      <c r="H22" s="136"/>
      <c r="I22" s="138"/>
      <c r="J22" s="138">
        <f t="shared" si="1"/>
        <v>0</v>
      </c>
      <c r="K22" s="136"/>
      <c r="L22" s="192"/>
    </row>
    <row r="23" ht="17.25" customHeight="1" spans="1:12">
      <c r="A23" s="177">
        <v>103060120</v>
      </c>
      <c r="B23" s="178" t="s">
        <v>1521</v>
      </c>
      <c r="C23" s="138"/>
      <c r="D23" s="179"/>
      <c r="E23" s="136"/>
      <c r="F23" s="138"/>
      <c r="G23" s="138"/>
      <c r="H23" s="136"/>
      <c r="I23" s="138"/>
      <c r="J23" s="138">
        <f t="shared" si="1"/>
        <v>0</v>
      </c>
      <c r="K23" s="136"/>
      <c r="L23" s="192"/>
    </row>
    <row r="24" ht="17.25" customHeight="1" spans="1:12">
      <c r="A24" s="177">
        <v>103060121</v>
      </c>
      <c r="B24" s="178" t="s">
        <v>1522</v>
      </c>
      <c r="C24" s="138"/>
      <c r="D24" s="179"/>
      <c r="E24" s="136"/>
      <c r="F24" s="138"/>
      <c r="G24" s="138"/>
      <c r="H24" s="136"/>
      <c r="I24" s="138"/>
      <c r="J24" s="138">
        <f t="shared" si="1"/>
        <v>0</v>
      </c>
      <c r="K24" s="136"/>
      <c r="L24" s="192"/>
    </row>
    <row r="25" ht="17.25" customHeight="1" spans="1:12">
      <c r="A25" s="177">
        <v>103060122</v>
      </c>
      <c r="B25" s="178" t="s">
        <v>1523</v>
      </c>
      <c r="C25" s="138"/>
      <c r="D25" s="179"/>
      <c r="E25" s="136"/>
      <c r="F25" s="138"/>
      <c r="G25" s="138"/>
      <c r="H25" s="136"/>
      <c r="I25" s="138"/>
      <c r="J25" s="138">
        <f t="shared" si="1"/>
        <v>0</v>
      </c>
      <c r="K25" s="136"/>
      <c r="L25" s="192"/>
    </row>
    <row r="26" ht="17.25" customHeight="1" spans="1:12">
      <c r="A26" s="177">
        <v>103060123</v>
      </c>
      <c r="B26" s="178" t="s">
        <v>1524</v>
      </c>
      <c r="C26" s="138"/>
      <c r="D26" s="179"/>
      <c r="E26" s="136"/>
      <c r="F26" s="138"/>
      <c r="G26" s="138"/>
      <c r="H26" s="136"/>
      <c r="I26" s="138"/>
      <c r="J26" s="138">
        <f t="shared" si="1"/>
        <v>0</v>
      </c>
      <c r="K26" s="136"/>
      <c r="L26" s="192"/>
    </row>
    <row r="27" ht="17.25" customHeight="1" spans="1:12">
      <c r="A27" s="177">
        <v>103060124</v>
      </c>
      <c r="B27" s="178" t="s">
        <v>1525</v>
      </c>
      <c r="C27" s="138"/>
      <c r="D27" s="179"/>
      <c r="E27" s="136"/>
      <c r="F27" s="138"/>
      <c r="G27" s="138"/>
      <c r="H27" s="136"/>
      <c r="I27" s="138"/>
      <c r="J27" s="138">
        <f t="shared" si="1"/>
        <v>0</v>
      </c>
      <c r="K27" s="136"/>
      <c r="L27" s="192"/>
    </row>
    <row r="28" ht="17.25" customHeight="1" spans="1:12">
      <c r="A28" s="177">
        <v>103060125</v>
      </c>
      <c r="B28" s="178" t="s">
        <v>1526</v>
      </c>
      <c r="C28" s="138"/>
      <c r="D28" s="179"/>
      <c r="E28" s="136"/>
      <c r="F28" s="138"/>
      <c r="G28" s="138"/>
      <c r="H28" s="136"/>
      <c r="I28" s="138"/>
      <c r="J28" s="138">
        <f t="shared" si="1"/>
        <v>0</v>
      </c>
      <c r="K28" s="136"/>
      <c r="L28" s="192"/>
    </row>
    <row r="29" ht="17.25" customHeight="1" spans="1:12">
      <c r="A29" s="177">
        <v>103060126</v>
      </c>
      <c r="B29" s="178" t="s">
        <v>1527</v>
      </c>
      <c r="C29" s="138"/>
      <c r="D29" s="179"/>
      <c r="E29" s="136"/>
      <c r="F29" s="138"/>
      <c r="G29" s="138"/>
      <c r="H29" s="136"/>
      <c r="I29" s="138"/>
      <c r="J29" s="138">
        <f t="shared" si="1"/>
        <v>0</v>
      </c>
      <c r="K29" s="136"/>
      <c r="L29" s="192"/>
    </row>
    <row r="30" ht="17.25" customHeight="1" spans="1:12">
      <c r="A30" s="177">
        <v>103060127</v>
      </c>
      <c r="B30" s="178" t="s">
        <v>1528</v>
      </c>
      <c r="C30" s="138"/>
      <c r="D30" s="179"/>
      <c r="E30" s="136"/>
      <c r="F30" s="138"/>
      <c r="G30" s="138"/>
      <c r="H30" s="136"/>
      <c r="I30" s="138"/>
      <c r="J30" s="138">
        <f t="shared" si="1"/>
        <v>0</v>
      </c>
      <c r="K30" s="136"/>
      <c r="L30" s="192"/>
    </row>
    <row r="31" ht="17.25" customHeight="1" spans="1:12">
      <c r="A31" s="177">
        <v>103060128</v>
      </c>
      <c r="B31" s="178" t="s">
        <v>1529</v>
      </c>
      <c r="C31" s="138"/>
      <c r="D31" s="179"/>
      <c r="E31" s="136"/>
      <c r="F31" s="138"/>
      <c r="G31" s="138"/>
      <c r="H31" s="136"/>
      <c r="I31" s="138"/>
      <c r="J31" s="138">
        <f t="shared" si="1"/>
        <v>0</v>
      </c>
      <c r="K31" s="136"/>
      <c r="L31" s="192"/>
    </row>
    <row r="32" ht="17.25" customHeight="1" spans="1:12">
      <c r="A32" s="177">
        <v>103060129</v>
      </c>
      <c r="B32" s="178" t="s">
        <v>1530</v>
      </c>
      <c r="C32" s="138"/>
      <c r="D32" s="179"/>
      <c r="E32" s="136"/>
      <c r="F32" s="138"/>
      <c r="G32" s="138"/>
      <c r="H32" s="136"/>
      <c r="I32" s="138"/>
      <c r="J32" s="138">
        <f t="shared" si="1"/>
        <v>0</v>
      </c>
      <c r="K32" s="136"/>
      <c r="L32" s="192"/>
    </row>
    <row r="33" ht="17.25" customHeight="1" spans="1:12">
      <c r="A33" s="177">
        <v>103060130</v>
      </c>
      <c r="B33" s="178" t="s">
        <v>1531</v>
      </c>
      <c r="C33" s="138"/>
      <c r="D33" s="179"/>
      <c r="E33" s="136"/>
      <c r="F33" s="138"/>
      <c r="G33" s="138"/>
      <c r="H33" s="136"/>
      <c r="I33" s="138"/>
      <c r="J33" s="138">
        <f t="shared" si="1"/>
        <v>0</v>
      </c>
      <c r="K33" s="136"/>
      <c r="L33" s="192"/>
    </row>
    <row r="34" ht="17.25" customHeight="1" spans="1:12">
      <c r="A34" s="177">
        <v>103060131</v>
      </c>
      <c r="B34" s="178" t="s">
        <v>1532</v>
      </c>
      <c r="C34" s="138"/>
      <c r="D34" s="179"/>
      <c r="E34" s="136"/>
      <c r="F34" s="138"/>
      <c r="G34" s="138"/>
      <c r="H34" s="136"/>
      <c r="I34" s="138"/>
      <c r="J34" s="138">
        <f t="shared" si="1"/>
        <v>0</v>
      </c>
      <c r="K34" s="136"/>
      <c r="L34" s="193"/>
    </row>
    <row r="35" ht="17.25" customHeight="1" spans="1:12">
      <c r="A35" s="177">
        <v>103060132</v>
      </c>
      <c r="B35" s="178" t="s">
        <v>1533</v>
      </c>
      <c r="C35" s="138"/>
      <c r="D35" s="179"/>
      <c r="E35" s="136"/>
      <c r="F35" s="138"/>
      <c r="G35" s="138"/>
      <c r="H35" s="136"/>
      <c r="I35" s="138"/>
      <c r="J35" s="138">
        <f t="shared" si="1"/>
        <v>0</v>
      </c>
      <c r="K35" s="136"/>
      <c r="L35" s="193"/>
    </row>
    <row r="36" ht="17.25" customHeight="1" spans="1:12">
      <c r="A36" s="177">
        <v>103060133</v>
      </c>
      <c r="B36" s="178" t="s">
        <v>1534</v>
      </c>
      <c r="C36" s="138"/>
      <c r="D36" s="179"/>
      <c r="E36" s="136"/>
      <c r="F36" s="138"/>
      <c r="G36" s="138"/>
      <c r="H36" s="136"/>
      <c r="I36" s="138"/>
      <c r="J36" s="138">
        <f t="shared" si="1"/>
        <v>0</v>
      </c>
      <c r="K36" s="136"/>
      <c r="L36" s="193"/>
    </row>
    <row r="37" ht="17.25" customHeight="1" spans="1:12">
      <c r="A37" s="177">
        <v>103060134</v>
      </c>
      <c r="B37" s="178" t="s">
        <v>1535</v>
      </c>
      <c r="C37" s="138"/>
      <c r="D37" s="179"/>
      <c r="E37" s="136"/>
      <c r="F37" s="138"/>
      <c r="G37" s="138"/>
      <c r="H37" s="136"/>
      <c r="I37" s="138"/>
      <c r="J37" s="138">
        <f t="shared" si="1"/>
        <v>0</v>
      </c>
      <c r="K37" s="136"/>
      <c r="L37" s="193"/>
    </row>
    <row r="38" ht="17.25" customHeight="1" spans="1:12">
      <c r="A38" s="177">
        <v>103060198</v>
      </c>
      <c r="B38" s="178" t="s">
        <v>1536</v>
      </c>
      <c r="C38" s="140">
        <v>12110</v>
      </c>
      <c r="D38" s="141">
        <f>558+2077</f>
        <v>2635</v>
      </c>
      <c r="E38" s="136">
        <f>D38/C38*100</f>
        <v>21.7588769611891</v>
      </c>
      <c r="F38" s="138">
        <v>1555</v>
      </c>
      <c r="G38" s="138">
        <f>D38-F38</f>
        <v>1080</v>
      </c>
      <c r="H38" s="136">
        <f>G38/F38*100</f>
        <v>69.4533762057878</v>
      </c>
      <c r="I38" s="138">
        <f>2000+1500</f>
        <v>3500</v>
      </c>
      <c r="J38" s="138">
        <f t="shared" si="1"/>
        <v>865</v>
      </c>
      <c r="K38" s="136">
        <f>J38/D38*100</f>
        <v>32.8273244781784</v>
      </c>
      <c r="L38" s="193"/>
    </row>
    <row r="39" s="117" customFormat="1" ht="17.25" customHeight="1" spans="1:12">
      <c r="A39" s="175">
        <v>1030602</v>
      </c>
      <c r="B39" s="176" t="s">
        <v>1537</v>
      </c>
      <c r="C39" s="138"/>
      <c r="D39" s="138"/>
      <c r="E39" s="136"/>
      <c r="F39" s="138">
        <f>SUM(F40:F43)</f>
        <v>0</v>
      </c>
      <c r="G39" s="138">
        <f>D39-F39</f>
        <v>0</v>
      </c>
      <c r="H39" s="136"/>
      <c r="I39" s="138"/>
      <c r="J39" s="138">
        <f t="shared" si="1"/>
        <v>0</v>
      </c>
      <c r="K39" s="136"/>
      <c r="L39" s="194"/>
    </row>
    <row r="40" ht="17.25" customHeight="1" spans="1:12">
      <c r="A40" s="177">
        <v>103060202</v>
      </c>
      <c r="B40" s="178" t="s">
        <v>1538</v>
      </c>
      <c r="C40" s="138"/>
      <c r="D40" s="179"/>
      <c r="E40" s="136"/>
      <c r="F40" s="138"/>
      <c r="G40" s="138"/>
      <c r="H40" s="136"/>
      <c r="I40" s="138"/>
      <c r="J40" s="138">
        <f t="shared" si="1"/>
        <v>0</v>
      </c>
      <c r="K40" s="136"/>
      <c r="L40" s="193"/>
    </row>
    <row r="41" ht="17.25" customHeight="1" spans="1:12">
      <c r="A41" s="177">
        <v>103060203</v>
      </c>
      <c r="B41" s="178" t="s">
        <v>1539</v>
      </c>
      <c r="C41" s="138"/>
      <c r="D41" s="179"/>
      <c r="E41" s="136"/>
      <c r="F41" s="138"/>
      <c r="G41" s="138"/>
      <c r="H41" s="136"/>
      <c r="I41" s="138"/>
      <c r="J41" s="138">
        <f t="shared" si="1"/>
        <v>0</v>
      </c>
      <c r="K41" s="136"/>
      <c r="L41" s="193"/>
    </row>
    <row r="42" ht="17.25" customHeight="1" spans="1:12">
      <c r="A42" s="177">
        <v>103060204</v>
      </c>
      <c r="B42" s="178" t="s">
        <v>1540</v>
      </c>
      <c r="C42" s="138"/>
      <c r="D42" s="179"/>
      <c r="E42" s="136"/>
      <c r="F42" s="138"/>
      <c r="G42" s="138"/>
      <c r="H42" s="136"/>
      <c r="I42" s="138"/>
      <c r="J42" s="138">
        <f t="shared" si="1"/>
        <v>0</v>
      </c>
      <c r="K42" s="136"/>
      <c r="L42" s="193"/>
    </row>
    <row r="43" ht="17.25" customHeight="1" spans="1:12">
      <c r="A43" s="177">
        <v>103060298</v>
      </c>
      <c r="B43" s="178" t="s">
        <v>1541</v>
      </c>
      <c r="C43" s="138"/>
      <c r="D43" s="179"/>
      <c r="E43" s="136"/>
      <c r="F43" s="138"/>
      <c r="G43" s="138"/>
      <c r="H43" s="136"/>
      <c r="I43" s="138"/>
      <c r="J43" s="138">
        <f t="shared" si="1"/>
        <v>0</v>
      </c>
      <c r="K43" s="136"/>
      <c r="L43" s="193"/>
    </row>
    <row r="44" s="117" customFormat="1" ht="17.25" customHeight="1" spans="1:12">
      <c r="A44" s="175">
        <v>1030603</v>
      </c>
      <c r="B44" s="176" t="s">
        <v>1542</v>
      </c>
      <c r="C44" s="138">
        <f>SUM(C45:C49)</f>
        <v>2976</v>
      </c>
      <c r="D44" s="138">
        <f>SUM(D45:D49)</f>
        <v>3497</v>
      </c>
      <c r="E44" s="136"/>
      <c r="F44" s="138">
        <f>SUM(F45:F49)</f>
        <v>0</v>
      </c>
      <c r="G44" s="138">
        <f>D44-F44</f>
        <v>3497</v>
      </c>
      <c r="H44" s="136"/>
      <c r="I44" s="138">
        <f>SUM(I45:I49)</f>
        <v>2753</v>
      </c>
      <c r="J44" s="138">
        <f t="shared" si="1"/>
        <v>-744</v>
      </c>
      <c r="K44" s="136">
        <f>J44/D44*100</f>
        <v>-21.2753788961967</v>
      </c>
      <c r="L44" s="194"/>
    </row>
    <row r="45" ht="17.25" customHeight="1" spans="1:12">
      <c r="A45" s="177">
        <v>103060301</v>
      </c>
      <c r="B45" s="178" t="s">
        <v>1543</v>
      </c>
      <c r="C45" s="140"/>
      <c r="D45" s="141"/>
      <c r="E45" s="136"/>
      <c r="F45" s="138"/>
      <c r="G45" s="138"/>
      <c r="H45" s="136"/>
      <c r="I45" s="138"/>
      <c r="J45" s="138">
        <f t="shared" si="1"/>
        <v>0</v>
      </c>
      <c r="K45" s="136"/>
      <c r="L45" s="193"/>
    </row>
    <row r="46" ht="17.25" customHeight="1" spans="1:12">
      <c r="A46" s="177">
        <v>103060304</v>
      </c>
      <c r="B46" s="178" t="s">
        <v>1544</v>
      </c>
      <c r="C46" s="140">
        <v>2976</v>
      </c>
      <c r="D46" s="141">
        <v>3497</v>
      </c>
      <c r="E46" s="136"/>
      <c r="F46" s="138"/>
      <c r="G46" s="138">
        <f>D46-F46</f>
        <v>3497</v>
      </c>
      <c r="H46" s="136"/>
      <c r="I46" s="138">
        <v>2753</v>
      </c>
      <c r="J46" s="138">
        <f t="shared" si="1"/>
        <v>-744</v>
      </c>
      <c r="K46" s="136">
        <f>J46/D46*100</f>
        <v>-21.2753788961967</v>
      </c>
      <c r="L46" s="193"/>
    </row>
    <row r="47" ht="17.25" customHeight="1" spans="1:12">
      <c r="A47" s="177">
        <v>103060305</v>
      </c>
      <c r="B47" s="178" t="s">
        <v>1545</v>
      </c>
      <c r="C47" s="140"/>
      <c r="D47" s="141"/>
      <c r="E47" s="136"/>
      <c r="F47" s="138"/>
      <c r="G47" s="138"/>
      <c r="H47" s="136"/>
      <c r="I47" s="138"/>
      <c r="J47" s="138">
        <f t="shared" si="1"/>
        <v>0</v>
      </c>
      <c r="K47" s="136"/>
      <c r="L47" s="193"/>
    </row>
    <row r="48" ht="17.25" customHeight="1" spans="1:12">
      <c r="A48" s="177">
        <v>103060307</v>
      </c>
      <c r="B48" s="178" t="s">
        <v>1546</v>
      </c>
      <c r="C48" s="140"/>
      <c r="D48" s="141"/>
      <c r="E48" s="136"/>
      <c r="F48" s="138"/>
      <c r="G48" s="138"/>
      <c r="H48" s="136"/>
      <c r="I48" s="138"/>
      <c r="J48" s="138">
        <f t="shared" si="1"/>
        <v>0</v>
      </c>
      <c r="K48" s="136"/>
      <c r="L48" s="193"/>
    </row>
    <row r="49" ht="17.25" customHeight="1" spans="1:12">
      <c r="A49" s="177">
        <v>103060398</v>
      </c>
      <c r="B49" s="178" t="s">
        <v>1547</v>
      </c>
      <c r="C49" s="138"/>
      <c r="D49" s="179"/>
      <c r="E49" s="136"/>
      <c r="F49" s="138"/>
      <c r="G49" s="138"/>
      <c r="H49" s="136"/>
      <c r="I49" s="138"/>
      <c r="J49" s="138">
        <f t="shared" si="1"/>
        <v>0</v>
      </c>
      <c r="K49" s="136"/>
      <c r="L49" s="193"/>
    </row>
    <row r="50" s="117" customFormat="1" ht="17.25" customHeight="1" spans="1:12">
      <c r="A50" s="175">
        <v>1030604</v>
      </c>
      <c r="B50" s="176" t="s">
        <v>1548</v>
      </c>
      <c r="C50" s="138"/>
      <c r="D50" s="138"/>
      <c r="E50" s="136"/>
      <c r="F50" s="138">
        <f>SUM(F51:F53)</f>
        <v>0</v>
      </c>
      <c r="G50" s="138">
        <f t="shared" ref="G50:G55" si="2">D50-F50</f>
        <v>0</v>
      </c>
      <c r="H50" s="136"/>
      <c r="I50" s="138"/>
      <c r="J50" s="138">
        <f t="shared" si="1"/>
        <v>0</v>
      </c>
      <c r="K50" s="136"/>
      <c r="L50" s="194"/>
    </row>
    <row r="51" ht="17.25" customHeight="1" spans="1:12">
      <c r="A51" s="177">
        <v>103060401</v>
      </c>
      <c r="B51" s="178" t="s">
        <v>1549</v>
      </c>
      <c r="C51" s="138"/>
      <c r="D51" s="179"/>
      <c r="E51" s="136"/>
      <c r="F51" s="138"/>
      <c r="G51" s="138"/>
      <c r="H51" s="136"/>
      <c r="I51" s="138"/>
      <c r="J51" s="138">
        <f t="shared" si="1"/>
        <v>0</v>
      </c>
      <c r="K51" s="136"/>
      <c r="L51" s="182"/>
    </row>
    <row r="52" ht="17.25" customHeight="1" spans="1:12">
      <c r="A52" s="177">
        <v>103060402</v>
      </c>
      <c r="B52" s="178" t="s">
        <v>1550</v>
      </c>
      <c r="C52" s="138"/>
      <c r="D52" s="179"/>
      <c r="E52" s="136"/>
      <c r="F52" s="138"/>
      <c r="G52" s="138"/>
      <c r="H52" s="136"/>
      <c r="I52" s="138"/>
      <c r="J52" s="138">
        <f t="shared" si="1"/>
        <v>0</v>
      </c>
      <c r="K52" s="136"/>
      <c r="L52" s="182"/>
    </row>
    <row r="53" ht="17.25" customHeight="1" spans="1:12">
      <c r="A53" s="177">
        <v>103060498</v>
      </c>
      <c r="B53" s="178" t="s">
        <v>1551</v>
      </c>
      <c r="C53" s="138"/>
      <c r="D53" s="179"/>
      <c r="E53" s="136"/>
      <c r="F53" s="138"/>
      <c r="G53" s="138"/>
      <c r="H53" s="136"/>
      <c r="I53" s="138"/>
      <c r="J53" s="138">
        <f t="shared" si="1"/>
        <v>0</v>
      </c>
      <c r="K53" s="136"/>
      <c r="L53" s="182"/>
    </row>
    <row r="54" s="117" customFormat="1" ht="17.25" customHeight="1" spans="1:12">
      <c r="A54" s="175">
        <v>1030698</v>
      </c>
      <c r="B54" s="176" t="s">
        <v>1552</v>
      </c>
      <c r="C54" s="138"/>
      <c r="D54" s="179">
        <v>2</v>
      </c>
      <c r="E54" s="136"/>
      <c r="F54" s="138"/>
      <c r="G54" s="138">
        <f t="shared" si="2"/>
        <v>2</v>
      </c>
      <c r="H54" s="136"/>
      <c r="I54" s="138">
        <v>2</v>
      </c>
      <c r="J54" s="138">
        <f t="shared" si="1"/>
        <v>0</v>
      </c>
      <c r="K54" s="136">
        <f>J54/D54*100</f>
        <v>0</v>
      </c>
      <c r="L54" s="156"/>
    </row>
    <row r="55" s="117" customFormat="1" ht="17.25" customHeight="1" spans="1:12">
      <c r="A55" s="175">
        <v>10306</v>
      </c>
      <c r="B55" s="176" t="s">
        <v>1553</v>
      </c>
      <c r="C55" s="138">
        <f t="shared" ref="C55:F55" si="3">C7+C39+C44+C50+C54</f>
        <v>15086</v>
      </c>
      <c r="D55" s="138">
        <f t="shared" si="3"/>
        <v>6134</v>
      </c>
      <c r="E55" s="136">
        <f>D55/C55*100</f>
        <v>40.6602147686597</v>
      </c>
      <c r="F55" s="138">
        <f t="shared" si="3"/>
        <v>1555</v>
      </c>
      <c r="G55" s="138">
        <f t="shared" si="2"/>
        <v>4579</v>
      </c>
      <c r="H55" s="136">
        <f>G55/F55*100</f>
        <v>294.469453376206</v>
      </c>
      <c r="I55" s="138">
        <f>I7+I39+I44+I50+I54</f>
        <v>6255</v>
      </c>
      <c r="J55" s="138">
        <f t="shared" si="1"/>
        <v>121</v>
      </c>
      <c r="K55" s="136">
        <f>J55/D55*100</f>
        <v>1.97261167264428</v>
      </c>
      <c r="L55" s="189"/>
    </row>
    <row r="56" s="117" customFormat="1" ht="17.25" customHeight="1" spans="1:12">
      <c r="A56" s="175"/>
      <c r="B56" s="176" t="s">
        <v>71</v>
      </c>
      <c r="C56" s="138">
        <f>SUM(C57:C58)</f>
        <v>722</v>
      </c>
      <c r="D56" s="138">
        <f>SUM(D57:D58)</f>
        <v>744</v>
      </c>
      <c r="E56" s="138"/>
      <c r="F56" s="138"/>
      <c r="G56" s="138"/>
      <c r="H56" s="138"/>
      <c r="I56" s="138">
        <f>SUM(I57:I58)</f>
        <v>1093</v>
      </c>
      <c r="J56" s="138"/>
      <c r="K56" s="136"/>
      <c r="L56" s="189"/>
    </row>
    <row r="57" s="117" customFormat="1" ht="17.25" customHeight="1" spans="1:12">
      <c r="A57" s="175"/>
      <c r="B57" s="180" t="s">
        <v>1554</v>
      </c>
      <c r="C57" s="138">
        <v>139</v>
      </c>
      <c r="D57" s="138">
        <v>144</v>
      </c>
      <c r="E57" s="138"/>
      <c r="F57" s="138"/>
      <c r="G57" s="138"/>
      <c r="H57" s="138"/>
      <c r="I57" s="138">
        <v>144</v>
      </c>
      <c r="J57" s="138"/>
      <c r="K57" s="136"/>
      <c r="L57" s="189"/>
    </row>
    <row r="58" ht="17.25" customHeight="1" spans="1:12">
      <c r="A58" s="177"/>
      <c r="B58" s="178" t="s">
        <v>1555</v>
      </c>
      <c r="C58" s="140">
        <v>583</v>
      </c>
      <c r="D58" s="141">
        <v>600</v>
      </c>
      <c r="E58" s="154"/>
      <c r="F58" s="154"/>
      <c r="G58" s="140"/>
      <c r="H58" s="154"/>
      <c r="I58" s="140">
        <v>949</v>
      </c>
      <c r="J58" s="140"/>
      <c r="K58" s="136"/>
      <c r="L58" s="192"/>
    </row>
    <row r="59" s="117" customFormat="1" ht="17.25" customHeight="1" spans="1:12">
      <c r="A59" s="175"/>
      <c r="B59" s="181" t="s">
        <v>1238</v>
      </c>
      <c r="C59" s="138">
        <f>C55+C56</f>
        <v>15808</v>
      </c>
      <c r="D59" s="138">
        <f>D55+D56</f>
        <v>6878</v>
      </c>
      <c r="E59" s="138"/>
      <c r="F59" s="138"/>
      <c r="G59" s="138"/>
      <c r="H59" s="138"/>
      <c r="I59" s="138">
        <f>I55+I56</f>
        <v>7348</v>
      </c>
      <c r="J59" s="138"/>
      <c r="K59" s="136"/>
      <c r="L59" s="189"/>
    </row>
    <row r="60" ht="24.75" customHeight="1" spans="2:12">
      <c r="B60" s="182"/>
      <c r="C60" s="183"/>
      <c r="D60" s="184"/>
      <c r="E60" s="187"/>
      <c r="F60" s="183"/>
      <c r="G60" s="183"/>
      <c r="H60" s="183"/>
      <c r="I60" s="183"/>
      <c r="J60" s="183"/>
      <c r="K60" s="195"/>
      <c r="L60" s="192"/>
    </row>
    <row r="61" ht="19.5" customHeight="1" spans="2:12">
      <c r="B61" s="182"/>
      <c r="C61" s="183"/>
      <c r="D61" s="184"/>
      <c r="E61" s="187"/>
      <c r="F61" s="183"/>
      <c r="G61" s="183"/>
      <c r="H61" s="183"/>
      <c r="I61" s="183"/>
      <c r="J61" s="183"/>
      <c r="K61" s="196"/>
      <c r="L61" s="189"/>
    </row>
    <row r="62" ht="19.5" customHeight="1"/>
    <row r="63" ht="19.5" customHeight="1"/>
    <row r="64" ht="19.5" customHeight="1"/>
  </sheetData>
  <mergeCells count="13">
    <mergeCell ref="B2:K2"/>
    <mergeCell ref="B3:K3"/>
    <mergeCell ref="C4:H4"/>
    <mergeCell ref="I4:K4"/>
    <mergeCell ref="G5:H5"/>
    <mergeCell ref="J5:K5"/>
    <mergeCell ref="A4:A6"/>
    <mergeCell ref="B4:B6"/>
    <mergeCell ref="C5:C6"/>
    <mergeCell ref="D5:D6"/>
    <mergeCell ref="E5:E6"/>
    <mergeCell ref="F5:F6"/>
    <mergeCell ref="I5:I6"/>
  </mergeCells>
  <printOptions horizontalCentered="1"/>
  <pageMargins left="0.511805555555556" right="0.55" top="0.786805555555556" bottom="0.786805555555556" header="0.313888888888889" footer="0.432638888888889"/>
  <pageSetup paperSize="9" scale="87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J113"/>
  <sheetViews>
    <sheetView showZeros="0" view="pageBreakPreview" zoomScale="120" zoomScaleNormal="100" zoomScaleSheetLayoutView="120" workbookViewId="0">
      <pane xSplit="1" ySplit="6" topLeftCell="B92" activePane="bottomRight" state="frozen"/>
      <selection/>
      <selection pane="topRight"/>
      <selection pane="bottomLeft"/>
      <selection pane="bottomRight" activeCell="A3" sqref="A3"/>
    </sheetView>
  </sheetViews>
  <sheetFormatPr defaultColWidth="9" defaultRowHeight="14.25"/>
  <cols>
    <col min="1" max="1" width="48.9166666666667" style="337" customWidth="1"/>
    <col min="2" max="2" width="13.5833333333333" style="334" customWidth="1"/>
    <col min="3" max="3" width="12.8333333333333" style="324" customWidth="1"/>
    <col min="4" max="4" width="9.33333333333333" style="351" customWidth="1"/>
    <col min="5" max="5" width="13.75" style="324" hidden="1" customWidth="1"/>
    <col min="6" max="6" width="10.8333333333333" style="350" customWidth="1"/>
    <col min="7" max="7" width="11" style="351" customWidth="1"/>
    <col min="8" max="8" width="12.8333333333333" style="400" customWidth="1"/>
    <col min="9" max="9" width="10.75" style="350" customWidth="1"/>
    <col min="10" max="10" width="9.58333333333333" style="351" customWidth="1"/>
    <col min="11" max="12" width="12.625" style="324"/>
    <col min="13" max="251" width="9" style="324"/>
    <col min="252" max="252" width="38" style="324" customWidth="1"/>
    <col min="253" max="253" width="13.25" style="324" customWidth="1"/>
    <col min="254" max="255" width="12.8333333333333" style="324" customWidth="1"/>
    <col min="256" max="257" width="13.75" style="324" customWidth="1"/>
    <col min="258" max="258" width="11" style="324" customWidth="1"/>
    <col min="259" max="259" width="10.3333333333333" style="324" customWidth="1"/>
    <col min="260" max="260" width="12.8333333333333" style="324" customWidth="1"/>
    <col min="261" max="261" width="11.5833333333333" style="324" customWidth="1"/>
    <col min="262" max="262" width="9.75" style="324" customWidth="1"/>
    <col min="263" max="507" width="9" style="324"/>
    <col min="508" max="508" width="38" style="324" customWidth="1"/>
    <col min="509" max="509" width="13.25" style="324" customWidth="1"/>
    <col min="510" max="511" width="12.8333333333333" style="324" customWidth="1"/>
    <col min="512" max="513" width="13.75" style="324" customWidth="1"/>
    <col min="514" max="514" width="11" style="324" customWidth="1"/>
    <col min="515" max="515" width="10.3333333333333" style="324" customWidth="1"/>
    <col min="516" max="516" width="12.8333333333333" style="324" customWidth="1"/>
    <col min="517" max="517" width="11.5833333333333" style="324" customWidth="1"/>
    <col min="518" max="518" width="9.75" style="324" customWidth="1"/>
    <col min="519" max="763" width="9" style="324"/>
    <col min="764" max="764" width="38" style="324" customWidth="1"/>
    <col min="765" max="765" width="13.25" style="324" customWidth="1"/>
    <col min="766" max="767" width="12.8333333333333" style="324" customWidth="1"/>
    <col min="768" max="769" width="13.75" style="324" customWidth="1"/>
    <col min="770" max="770" width="11" style="324" customWidth="1"/>
    <col min="771" max="771" width="10.3333333333333" style="324" customWidth="1"/>
    <col min="772" max="772" width="12.8333333333333" style="324" customWidth="1"/>
    <col min="773" max="773" width="11.5833333333333" style="324" customWidth="1"/>
    <col min="774" max="774" width="9.75" style="324" customWidth="1"/>
    <col min="775" max="1019" width="9" style="324"/>
    <col min="1020" max="1020" width="38" style="324" customWidth="1"/>
    <col min="1021" max="1021" width="13.25" style="324" customWidth="1"/>
    <col min="1022" max="1023" width="12.8333333333333" style="324" customWidth="1"/>
    <col min="1024" max="1025" width="13.75" style="324" customWidth="1"/>
    <col min="1026" max="1026" width="11" style="324" customWidth="1"/>
    <col min="1027" max="1027" width="10.3333333333333" style="324" customWidth="1"/>
    <col min="1028" max="1028" width="12.8333333333333" style="324" customWidth="1"/>
    <col min="1029" max="1029" width="11.5833333333333" style="324" customWidth="1"/>
    <col min="1030" max="1030" width="9.75" style="324" customWidth="1"/>
    <col min="1031" max="1275" width="9" style="324"/>
    <col min="1276" max="1276" width="38" style="324" customWidth="1"/>
    <col min="1277" max="1277" width="13.25" style="324" customWidth="1"/>
    <col min="1278" max="1279" width="12.8333333333333" style="324" customWidth="1"/>
    <col min="1280" max="1281" width="13.75" style="324" customWidth="1"/>
    <col min="1282" max="1282" width="11" style="324" customWidth="1"/>
    <col min="1283" max="1283" width="10.3333333333333" style="324" customWidth="1"/>
    <col min="1284" max="1284" width="12.8333333333333" style="324" customWidth="1"/>
    <col min="1285" max="1285" width="11.5833333333333" style="324" customWidth="1"/>
    <col min="1286" max="1286" width="9.75" style="324" customWidth="1"/>
    <col min="1287" max="1531" width="9" style="324"/>
    <col min="1532" max="1532" width="38" style="324" customWidth="1"/>
    <col min="1533" max="1533" width="13.25" style="324" customWidth="1"/>
    <col min="1534" max="1535" width="12.8333333333333" style="324" customWidth="1"/>
    <col min="1536" max="1537" width="13.75" style="324" customWidth="1"/>
    <col min="1538" max="1538" width="11" style="324" customWidth="1"/>
    <col min="1539" max="1539" width="10.3333333333333" style="324" customWidth="1"/>
    <col min="1540" max="1540" width="12.8333333333333" style="324" customWidth="1"/>
    <col min="1541" max="1541" width="11.5833333333333" style="324" customWidth="1"/>
    <col min="1542" max="1542" width="9.75" style="324" customWidth="1"/>
    <col min="1543" max="1787" width="9" style="324"/>
    <col min="1788" max="1788" width="38" style="324" customWidth="1"/>
    <col min="1789" max="1789" width="13.25" style="324" customWidth="1"/>
    <col min="1790" max="1791" width="12.8333333333333" style="324" customWidth="1"/>
    <col min="1792" max="1793" width="13.75" style="324" customWidth="1"/>
    <col min="1794" max="1794" width="11" style="324" customWidth="1"/>
    <col min="1795" max="1795" width="10.3333333333333" style="324" customWidth="1"/>
    <col min="1796" max="1796" width="12.8333333333333" style="324" customWidth="1"/>
    <col min="1797" max="1797" width="11.5833333333333" style="324" customWidth="1"/>
    <col min="1798" max="1798" width="9.75" style="324" customWidth="1"/>
    <col min="1799" max="2043" width="9" style="324"/>
    <col min="2044" max="2044" width="38" style="324" customWidth="1"/>
    <col min="2045" max="2045" width="13.25" style="324" customWidth="1"/>
    <col min="2046" max="2047" width="12.8333333333333" style="324" customWidth="1"/>
    <col min="2048" max="2049" width="13.75" style="324" customWidth="1"/>
    <col min="2050" max="2050" width="11" style="324" customWidth="1"/>
    <col min="2051" max="2051" width="10.3333333333333" style="324" customWidth="1"/>
    <col min="2052" max="2052" width="12.8333333333333" style="324" customWidth="1"/>
    <col min="2053" max="2053" width="11.5833333333333" style="324" customWidth="1"/>
    <col min="2054" max="2054" width="9.75" style="324" customWidth="1"/>
    <col min="2055" max="2299" width="9" style="324"/>
    <col min="2300" max="2300" width="38" style="324" customWidth="1"/>
    <col min="2301" max="2301" width="13.25" style="324" customWidth="1"/>
    <col min="2302" max="2303" width="12.8333333333333" style="324" customWidth="1"/>
    <col min="2304" max="2305" width="13.75" style="324" customWidth="1"/>
    <col min="2306" max="2306" width="11" style="324" customWidth="1"/>
    <col min="2307" max="2307" width="10.3333333333333" style="324" customWidth="1"/>
    <col min="2308" max="2308" width="12.8333333333333" style="324" customWidth="1"/>
    <col min="2309" max="2309" width="11.5833333333333" style="324" customWidth="1"/>
    <col min="2310" max="2310" width="9.75" style="324" customWidth="1"/>
    <col min="2311" max="2555" width="9" style="324"/>
    <col min="2556" max="2556" width="38" style="324" customWidth="1"/>
    <col min="2557" max="2557" width="13.25" style="324" customWidth="1"/>
    <col min="2558" max="2559" width="12.8333333333333" style="324" customWidth="1"/>
    <col min="2560" max="2561" width="13.75" style="324" customWidth="1"/>
    <col min="2562" max="2562" width="11" style="324" customWidth="1"/>
    <col min="2563" max="2563" width="10.3333333333333" style="324" customWidth="1"/>
    <col min="2564" max="2564" width="12.8333333333333" style="324" customWidth="1"/>
    <col min="2565" max="2565" width="11.5833333333333" style="324" customWidth="1"/>
    <col min="2566" max="2566" width="9.75" style="324" customWidth="1"/>
    <col min="2567" max="2811" width="9" style="324"/>
    <col min="2812" max="2812" width="38" style="324" customWidth="1"/>
    <col min="2813" max="2813" width="13.25" style="324" customWidth="1"/>
    <col min="2814" max="2815" width="12.8333333333333" style="324" customWidth="1"/>
    <col min="2816" max="2817" width="13.75" style="324" customWidth="1"/>
    <col min="2818" max="2818" width="11" style="324" customWidth="1"/>
    <col min="2819" max="2819" width="10.3333333333333" style="324" customWidth="1"/>
    <col min="2820" max="2820" width="12.8333333333333" style="324" customWidth="1"/>
    <col min="2821" max="2821" width="11.5833333333333" style="324" customWidth="1"/>
    <col min="2822" max="2822" width="9.75" style="324" customWidth="1"/>
    <col min="2823" max="3067" width="9" style="324"/>
    <col min="3068" max="3068" width="38" style="324" customWidth="1"/>
    <col min="3069" max="3069" width="13.25" style="324" customWidth="1"/>
    <col min="3070" max="3071" width="12.8333333333333" style="324" customWidth="1"/>
    <col min="3072" max="3073" width="13.75" style="324" customWidth="1"/>
    <col min="3074" max="3074" width="11" style="324" customWidth="1"/>
    <col min="3075" max="3075" width="10.3333333333333" style="324" customWidth="1"/>
    <col min="3076" max="3076" width="12.8333333333333" style="324" customWidth="1"/>
    <col min="3077" max="3077" width="11.5833333333333" style="324" customWidth="1"/>
    <col min="3078" max="3078" width="9.75" style="324" customWidth="1"/>
    <col min="3079" max="3323" width="9" style="324"/>
    <col min="3324" max="3324" width="38" style="324" customWidth="1"/>
    <col min="3325" max="3325" width="13.25" style="324" customWidth="1"/>
    <col min="3326" max="3327" width="12.8333333333333" style="324" customWidth="1"/>
    <col min="3328" max="3329" width="13.75" style="324" customWidth="1"/>
    <col min="3330" max="3330" width="11" style="324" customWidth="1"/>
    <col min="3331" max="3331" width="10.3333333333333" style="324" customWidth="1"/>
    <col min="3332" max="3332" width="12.8333333333333" style="324" customWidth="1"/>
    <col min="3333" max="3333" width="11.5833333333333" style="324" customWidth="1"/>
    <col min="3334" max="3334" width="9.75" style="324" customWidth="1"/>
    <col min="3335" max="3579" width="9" style="324"/>
    <col min="3580" max="3580" width="38" style="324" customWidth="1"/>
    <col min="3581" max="3581" width="13.25" style="324" customWidth="1"/>
    <col min="3582" max="3583" width="12.8333333333333" style="324" customWidth="1"/>
    <col min="3584" max="3585" width="13.75" style="324" customWidth="1"/>
    <col min="3586" max="3586" width="11" style="324" customWidth="1"/>
    <col min="3587" max="3587" width="10.3333333333333" style="324" customWidth="1"/>
    <col min="3588" max="3588" width="12.8333333333333" style="324" customWidth="1"/>
    <col min="3589" max="3589" width="11.5833333333333" style="324" customWidth="1"/>
    <col min="3590" max="3590" width="9.75" style="324" customWidth="1"/>
    <col min="3591" max="3835" width="9" style="324"/>
    <col min="3836" max="3836" width="38" style="324" customWidth="1"/>
    <col min="3837" max="3837" width="13.25" style="324" customWidth="1"/>
    <col min="3838" max="3839" width="12.8333333333333" style="324" customWidth="1"/>
    <col min="3840" max="3841" width="13.75" style="324" customWidth="1"/>
    <col min="3842" max="3842" width="11" style="324" customWidth="1"/>
    <col min="3843" max="3843" width="10.3333333333333" style="324" customWidth="1"/>
    <col min="3844" max="3844" width="12.8333333333333" style="324" customWidth="1"/>
    <col min="3845" max="3845" width="11.5833333333333" style="324" customWidth="1"/>
    <col min="3846" max="3846" width="9.75" style="324" customWidth="1"/>
    <col min="3847" max="4091" width="9" style="324"/>
    <col min="4092" max="4092" width="38" style="324" customWidth="1"/>
    <col min="4093" max="4093" width="13.25" style="324" customWidth="1"/>
    <col min="4094" max="4095" width="12.8333333333333" style="324" customWidth="1"/>
    <col min="4096" max="4097" width="13.75" style="324" customWidth="1"/>
    <col min="4098" max="4098" width="11" style="324" customWidth="1"/>
    <col min="4099" max="4099" width="10.3333333333333" style="324" customWidth="1"/>
    <col min="4100" max="4100" width="12.8333333333333" style="324" customWidth="1"/>
    <col min="4101" max="4101" width="11.5833333333333" style="324" customWidth="1"/>
    <col min="4102" max="4102" width="9.75" style="324" customWidth="1"/>
    <col min="4103" max="4347" width="9" style="324"/>
    <col min="4348" max="4348" width="38" style="324" customWidth="1"/>
    <col min="4349" max="4349" width="13.25" style="324" customWidth="1"/>
    <col min="4350" max="4351" width="12.8333333333333" style="324" customWidth="1"/>
    <col min="4352" max="4353" width="13.75" style="324" customWidth="1"/>
    <col min="4354" max="4354" width="11" style="324" customWidth="1"/>
    <col min="4355" max="4355" width="10.3333333333333" style="324" customWidth="1"/>
    <col min="4356" max="4356" width="12.8333333333333" style="324" customWidth="1"/>
    <col min="4357" max="4357" width="11.5833333333333" style="324" customWidth="1"/>
    <col min="4358" max="4358" width="9.75" style="324" customWidth="1"/>
    <col min="4359" max="4603" width="9" style="324"/>
    <col min="4604" max="4604" width="38" style="324" customWidth="1"/>
    <col min="4605" max="4605" width="13.25" style="324" customWidth="1"/>
    <col min="4606" max="4607" width="12.8333333333333" style="324" customWidth="1"/>
    <col min="4608" max="4609" width="13.75" style="324" customWidth="1"/>
    <col min="4610" max="4610" width="11" style="324" customWidth="1"/>
    <col min="4611" max="4611" width="10.3333333333333" style="324" customWidth="1"/>
    <col min="4612" max="4612" width="12.8333333333333" style="324" customWidth="1"/>
    <col min="4613" max="4613" width="11.5833333333333" style="324" customWidth="1"/>
    <col min="4614" max="4614" width="9.75" style="324" customWidth="1"/>
    <col min="4615" max="4859" width="9" style="324"/>
    <col min="4860" max="4860" width="38" style="324" customWidth="1"/>
    <col min="4861" max="4861" width="13.25" style="324" customWidth="1"/>
    <col min="4862" max="4863" width="12.8333333333333" style="324" customWidth="1"/>
    <col min="4864" max="4865" width="13.75" style="324" customWidth="1"/>
    <col min="4866" max="4866" width="11" style="324" customWidth="1"/>
    <col min="4867" max="4867" width="10.3333333333333" style="324" customWidth="1"/>
    <col min="4868" max="4868" width="12.8333333333333" style="324" customWidth="1"/>
    <col min="4869" max="4869" width="11.5833333333333" style="324" customWidth="1"/>
    <col min="4870" max="4870" width="9.75" style="324" customWidth="1"/>
    <col min="4871" max="5115" width="9" style="324"/>
    <col min="5116" max="5116" width="38" style="324" customWidth="1"/>
    <col min="5117" max="5117" width="13.25" style="324" customWidth="1"/>
    <col min="5118" max="5119" width="12.8333333333333" style="324" customWidth="1"/>
    <col min="5120" max="5121" width="13.75" style="324" customWidth="1"/>
    <col min="5122" max="5122" width="11" style="324" customWidth="1"/>
    <col min="5123" max="5123" width="10.3333333333333" style="324" customWidth="1"/>
    <col min="5124" max="5124" width="12.8333333333333" style="324" customWidth="1"/>
    <col min="5125" max="5125" width="11.5833333333333" style="324" customWidth="1"/>
    <col min="5126" max="5126" width="9.75" style="324" customWidth="1"/>
    <col min="5127" max="5371" width="9" style="324"/>
    <col min="5372" max="5372" width="38" style="324" customWidth="1"/>
    <col min="5373" max="5373" width="13.25" style="324" customWidth="1"/>
    <col min="5374" max="5375" width="12.8333333333333" style="324" customWidth="1"/>
    <col min="5376" max="5377" width="13.75" style="324" customWidth="1"/>
    <col min="5378" max="5378" width="11" style="324" customWidth="1"/>
    <col min="5379" max="5379" width="10.3333333333333" style="324" customWidth="1"/>
    <col min="5380" max="5380" width="12.8333333333333" style="324" customWidth="1"/>
    <col min="5381" max="5381" width="11.5833333333333" style="324" customWidth="1"/>
    <col min="5382" max="5382" width="9.75" style="324" customWidth="1"/>
    <col min="5383" max="5627" width="9" style="324"/>
    <col min="5628" max="5628" width="38" style="324" customWidth="1"/>
    <col min="5629" max="5629" width="13.25" style="324" customWidth="1"/>
    <col min="5630" max="5631" width="12.8333333333333" style="324" customWidth="1"/>
    <col min="5632" max="5633" width="13.75" style="324" customWidth="1"/>
    <col min="5634" max="5634" width="11" style="324" customWidth="1"/>
    <col min="5635" max="5635" width="10.3333333333333" style="324" customWidth="1"/>
    <col min="5636" max="5636" width="12.8333333333333" style="324" customWidth="1"/>
    <col min="5637" max="5637" width="11.5833333333333" style="324" customWidth="1"/>
    <col min="5638" max="5638" width="9.75" style="324" customWidth="1"/>
    <col min="5639" max="5883" width="9" style="324"/>
    <col min="5884" max="5884" width="38" style="324" customWidth="1"/>
    <col min="5885" max="5885" width="13.25" style="324" customWidth="1"/>
    <col min="5886" max="5887" width="12.8333333333333" style="324" customWidth="1"/>
    <col min="5888" max="5889" width="13.75" style="324" customWidth="1"/>
    <col min="5890" max="5890" width="11" style="324" customWidth="1"/>
    <col min="5891" max="5891" width="10.3333333333333" style="324" customWidth="1"/>
    <col min="5892" max="5892" width="12.8333333333333" style="324" customWidth="1"/>
    <col min="5893" max="5893" width="11.5833333333333" style="324" customWidth="1"/>
    <col min="5894" max="5894" width="9.75" style="324" customWidth="1"/>
    <col min="5895" max="6139" width="9" style="324"/>
    <col min="6140" max="6140" width="38" style="324" customWidth="1"/>
    <col min="6141" max="6141" width="13.25" style="324" customWidth="1"/>
    <col min="6142" max="6143" width="12.8333333333333" style="324" customWidth="1"/>
    <col min="6144" max="6145" width="13.75" style="324" customWidth="1"/>
    <col min="6146" max="6146" width="11" style="324" customWidth="1"/>
    <col min="6147" max="6147" width="10.3333333333333" style="324" customWidth="1"/>
    <col min="6148" max="6148" width="12.8333333333333" style="324" customWidth="1"/>
    <col min="6149" max="6149" width="11.5833333333333" style="324" customWidth="1"/>
    <col min="6150" max="6150" width="9.75" style="324" customWidth="1"/>
    <col min="6151" max="6395" width="9" style="324"/>
    <col min="6396" max="6396" width="38" style="324" customWidth="1"/>
    <col min="6397" max="6397" width="13.25" style="324" customWidth="1"/>
    <col min="6398" max="6399" width="12.8333333333333" style="324" customWidth="1"/>
    <col min="6400" max="6401" width="13.75" style="324" customWidth="1"/>
    <col min="6402" max="6402" width="11" style="324" customWidth="1"/>
    <col min="6403" max="6403" width="10.3333333333333" style="324" customWidth="1"/>
    <col min="6404" max="6404" width="12.8333333333333" style="324" customWidth="1"/>
    <col min="6405" max="6405" width="11.5833333333333" style="324" customWidth="1"/>
    <col min="6406" max="6406" width="9.75" style="324" customWidth="1"/>
    <col min="6407" max="6651" width="9" style="324"/>
    <col min="6652" max="6652" width="38" style="324" customWidth="1"/>
    <col min="6653" max="6653" width="13.25" style="324" customWidth="1"/>
    <col min="6654" max="6655" width="12.8333333333333" style="324" customWidth="1"/>
    <col min="6656" max="6657" width="13.75" style="324" customWidth="1"/>
    <col min="6658" max="6658" width="11" style="324" customWidth="1"/>
    <col min="6659" max="6659" width="10.3333333333333" style="324" customWidth="1"/>
    <col min="6660" max="6660" width="12.8333333333333" style="324" customWidth="1"/>
    <col min="6661" max="6661" width="11.5833333333333" style="324" customWidth="1"/>
    <col min="6662" max="6662" width="9.75" style="324" customWidth="1"/>
    <col min="6663" max="6907" width="9" style="324"/>
    <col min="6908" max="6908" width="38" style="324" customWidth="1"/>
    <col min="6909" max="6909" width="13.25" style="324" customWidth="1"/>
    <col min="6910" max="6911" width="12.8333333333333" style="324" customWidth="1"/>
    <col min="6912" max="6913" width="13.75" style="324" customWidth="1"/>
    <col min="6914" max="6914" width="11" style="324" customWidth="1"/>
    <col min="6915" max="6915" width="10.3333333333333" style="324" customWidth="1"/>
    <col min="6916" max="6916" width="12.8333333333333" style="324" customWidth="1"/>
    <col min="6917" max="6917" width="11.5833333333333" style="324" customWidth="1"/>
    <col min="6918" max="6918" width="9.75" style="324" customWidth="1"/>
    <col min="6919" max="7163" width="9" style="324"/>
    <col min="7164" max="7164" width="38" style="324" customWidth="1"/>
    <col min="7165" max="7165" width="13.25" style="324" customWidth="1"/>
    <col min="7166" max="7167" width="12.8333333333333" style="324" customWidth="1"/>
    <col min="7168" max="7169" width="13.75" style="324" customWidth="1"/>
    <col min="7170" max="7170" width="11" style="324" customWidth="1"/>
    <col min="7171" max="7171" width="10.3333333333333" style="324" customWidth="1"/>
    <col min="7172" max="7172" width="12.8333333333333" style="324" customWidth="1"/>
    <col min="7173" max="7173" width="11.5833333333333" style="324" customWidth="1"/>
    <col min="7174" max="7174" width="9.75" style="324" customWidth="1"/>
    <col min="7175" max="7419" width="9" style="324"/>
    <col min="7420" max="7420" width="38" style="324" customWidth="1"/>
    <col min="7421" max="7421" width="13.25" style="324" customWidth="1"/>
    <col min="7422" max="7423" width="12.8333333333333" style="324" customWidth="1"/>
    <col min="7424" max="7425" width="13.75" style="324" customWidth="1"/>
    <col min="7426" max="7426" width="11" style="324" customWidth="1"/>
    <col min="7427" max="7427" width="10.3333333333333" style="324" customWidth="1"/>
    <col min="7428" max="7428" width="12.8333333333333" style="324" customWidth="1"/>
    <col min="7429" max="7429" width="11.5833333333333" style="324" customWidth="1"/>
    <col min="7430" max="7430" width="9.75" style="324" customWidth="1"/>
    <col min="7431" max="7675" width="9" style="324"/>
    <col min="7676" max="7676" width="38" style="324" customWidth="1"/>
    <col min="7677" max="7677" width="13.25" style="324" customWidth="1"/>
    <col min="7678" max="7679" width="12.8333333333333" style="324" customWidth="1"/>
    <col min="7680" max="7681" width="13.75" style="324" customWidth="1"/>
    <col min="7682" max="7682" width="11" style="324" customWidth="1"/>
    <col min="7683" max="7683" width="10.3333333333333" style="324" customWidth="1"/>
    <col min="7684" max="7684" width="12.8333333333333" style="324" customWidth="1"/>
    <col min="7685" max="7685" width="11.5833333333333" style="324" customWidth="1"/>
    <col min="7686" max="7686" width="9.75" style="324" customWidth="1"/>
    <col min="7687" max="7931" width="9" style="324"/>
    <col min="7932" max="7932" width="38" style="324" customWidth="1"/>
    <col min="7933" max="7933" width="13.25" style="324" customWidth="1"/>
    <col min="7934" max="7935" width="12.8333333333333" style="324" customWidth="1"/>
    <col min="7936" max="7937" width="13.75" style="324" customWidth="1"/>
    <col min="7938" max="7938" width="11" style="324" customWidth="1"/>
    <col min="7939" max="7939" width="10.3333333333333" style="324" customWidth="1"/>
    <col min="7940" max="7940" width="12.8333333333333" style="324" customWidth="1"/>
    <col min="7941" max="7941" width="11.5833333333333" style="324" customWidth="1"/>
    <col min="7942" max="7942" width="9.75" style="324" customWidth="1"/>
    <col min="7943" max="8187" width="9" style="324"/>
    <col min="8188" max="8188" width="38" style="324" customWidth="1"/>
    <col min="8189" max="8189" width="13.25" style="324" customWidth="1"/>
    <col min="8190" max="8191" width="12.8333333333333" style="324" customWidth="1"/>
    <col min="8192" max="8193" width="13.75" style="324" customWidth="1"/>
    <col min="8194" max="8194" width="11" style="324" customWidth="1"/>
    <col min="8195" max="8195" width="10.3333333333333" style="324" customWidth="1"/>
    <col min="8196" max="8196" width="12.8333333333333" style="324" customWidth="1"/>
    <col min="8197" max="8197" width="11.5833333333333" style="324" customWidth="1"/>
    <col min="8198" max="8198" width="9.75" style="324" customWidth="1"/>
    <col min="8199" max="8443" width="9" style="324"/>
    <col min="8444" max="8444" width="38" style="324" customWidth="1"/>
    <col min="8445" max="8445" width="13.25" style="324" customWidth="1"/>
    <col min="8446" max="8447" width="12.8333333333333" style="324" customWidth="1"/>
    <col min="8448" max="8449" width="13.75" style="324" customWidth="1"/>
    <col min="8450" max="8450" width="11" style="324" customWidth="1"/>
    <col min="8451" max="8451" width="10.3333333333333" style="324" customWidth="1"/>
    <col min="8452" max="8452" width="12.8333333333333" style="324" customWidth="1"/>
    <col min="8453" max="8453" width="11.5833333333333" style="324" customWidth="1"/>
    <col min="8454" max="8454" width="9.75" style="324" customWidth="1"/>
    <col min="8455" max="8699" width="9" style="324"/>
    <col min="8700" max="8700" width="38" style="324" customWidth="1"/>
    <col min="8701" max="8701" width="13.25" style="324" customWidth="1"/>
    <col min="8702" max="8703" width="12.8333333333333" style="324" customWidth="1"/>
    <col min="8704" max="8705" width="13.75" style="324" customWidth="1"/>
    <col min="8706" max="8706" width="11" style="324" customWidth="1"/>
    <col min="8707" max="8707" width="10.3333333333333" style="324" customWidth="1"/>
    <col min="8708" max="8708" width="12.8333333333333" style="324" customWidth="1"/>
    <col min="8709" max="8709" width="11.5833333333333" style="324" customWidth="1"/>
    <col min="8710" max="8710" width="9.75" style="324" customWidth="1"/>
    <col min="8711" max="8955" width="9" style="324"/>
    <col min="8956" max="8956" width="38" style="324" customWidth="1"/>
    <col min="8957" max="8957" width="13.25" style="324" customWidth="1"/>
    <col min="8958" max="8959" width="12.8333333333333" style="324" customWidth="1"/>
    <col min="8960" max="8961" width="13.75" style="324" customWidth="1"/>
    <col min="8962" max="8962" width="11" style="324" customWidth="1"/>
    <col min="8963" max="8963" width="10.3333333333333" style="324" customWidth="1"/>
    <col min="8964" max="8964" width="12.8333333333333" style="324" customWidth="1"/>
    <col min="8965" max="8965" width="11.5833333333333" style="324" customWidth="1"/>
    <col min="8966" max="8966" width="9.75" style="324" customWidth="1"/>
    <col min="8967" max="9211" width="9" style="324"/>
    <col min="9212" max="9212" width="38" style="324" customWidth="1"/>
    <col min="9213" max="9213" width="13.25" style="324" customWidth="1"/>
    <col min="9214" max="9215" width="12.8333333333333" style="324" customWidth="1"/>
    <col min="9216" max="9217" width="13.75" style="324" customWidth="1"/>
    <col min="9218" max="9218" width="11" style="324" customWidth="1"/>
    <col min="9219" max="9219" width="10.3333333333333" style="324" customWidth="1"/>
    <col min="9220" max="9220" width="12.8333333333333" style="324" customWidth="1"/>
    <col min="9221" max="9221" width="11.5833333333333" style="324" customWidth="1"/>
    <col min="9222" max="9222" width="9.75" style="324" customWidth="1"/>
    <col min="9223" max="9467" width="9" style="324"/>
    <col min="9468" max="9468" width="38" style="324" customWidth="1"/>
    <col min="9469" max="9469" width="13.25" style="324" customWidth="1"/>
    <col min="9470" max="9471" width="12.8333333333333" style="324" customWidth="1"/>
    <col min="9472" max="9473" width="13.75" style="324" customWidth="1"/>
    <col min="9474" max="9474" width="11" style="324" customWidth="1"/>
    <col min="9475" max="9475" width="10.3333333333333" style="324" customWidth="1"/>
    <col min="9476" max="9476" width="12.8333333333333" style="324" customWidth="1"/>
    <col min="9477" max="9477" width="11.5833333333333" style="324" customWidth="1"/>
    <col min="9478" max="9478" width="9.75" style="324" customWidth="1"/>
    <col min="9479" max="9723" width="9" style="324"/>
    <col min="9724" max="9724" width="38" style="324" customWidth="1"/>
    <col min="9725" max="9725" width="13.25" style="324" customWidth="1"/>
    <col min="9726" max="9727" width="12.8333333333333" style="324" customWidth="1"/>
    <col min="9728" max="9729" width="13.75" style="324" customWidth="1"/>
    <col min="9730" max="9730" width="11" style="324" customWidth="1"/>
    <col min="9731" max="9731" width="10.3333333333333" style="324" customWidth="1"/>
    <col min="9732" max="9732" width="12.8333333333333" style="324" customWidth="1"/>
    <col min="9733" max="9733" width="11.5833333333333" style="324" customWidth="1"/>
    <col min="9734" max="9734" width="9.75" style="324" customWidth="1"/>
    <col min="9735" max="9979" width="9" style="324"/>
    <col min="9980" max="9980" width="38" style="324" customWidth="1"/>
    <col min="9981" max="9981" width="13.25" style="324" customWidth="1"/>
    <col min="9982" max="9983" width="12.8333333333333" style="324" customWidth="1"/>
    <col min="9984" max="9985" width="13.75" style="324" customWidth="1"/>
    <col min="9986" max="9986" width="11" style="324" customWidth="1"/>
    <col min="9987" max="9987" width="10.3333333333333" style="324" customWidth="1"/>
    <col min="9988" max="9988" width="12.8333333333333" style="324" customWidth="1"/>
    <col min="9989" max="9989" width="11.5833333333333" style="324" customWidth="1"/>
    <col min="9990" max="9990" width="9.75" style="324" customWidth="1"/>
    <col min="9991" max="10235" width="9" style="324"/>
    <col min="10236" max="10236" width="38" style="324" customWidth="1"/>
    <col min="10237" max="10237" width="13.25" style="324" customWidth="1"/>
    <col min="10238" max="10239" width="12.8333333333333" style="324" customWidth="1"/>
    <col min="10240" max="10241" width="13.75" style="324" customWidth="1"/>
    <col min="10242" max="10242" width="11" style="324" customWidth="1"/>
    <col min="10243" max="10243" width="10.3333333333333" style="324" customWidth="1"/>
    <col min="10244" max="10244" width="12.8333333333333" style="324" customWidth="1"/>
    <col min="10245" max="10245" width="11.5833333333333" style="324" customWidth="1"/>
    <col min="10246" max="10246" width="9.75" style="324" customWidth="1"/>
    <col min="10247" max="10491" width="9" style="324"/>
    <col min="10492" max="10492" width="38" style="324" customWidth="1"/>
    <col min="10493" max="10493" width="13.25" style="324" customWidth="1"/>
    <col min="10494" max="10495" width="12.8333333333333" style="324" customWidth="1"/>
    <col min="10496" max="10497" width="13.75" style="324" customWidth="1"/>
    <col min="10498" max="10498" width="11" style="324" customWidth="1"/>
    <col min="10499" max="10499" width="10.3333333333333" style="324" customWidth="1"/>
    <col min="10500" max="10500" width="12.8333333333333" style="324" customWidth="1"/>
    <col min="10501" max="10501" width="11.5833333333333" style="324" customWidth="1"/>
    <col min="10502" max="10502" width="9.75" style="324" customWidth="1"/>
    <col min="10503" max="10747" width="9" style="324"/>
    <col min="10748" max="10748" width="38" style="324" customWidth="1"/>
    <col min="10749" max="10749" width="13.25" style="324" customWidth="1"/>
    <col min="10750" max="10751" width="12.8333333333333" style="324" customWidth="1"/>
    <col min="10752" max="10753" width="13.75" style="324" customWidth="1"/>
    <col min="10754" max="10754" width="11" style="324" customWidth="1"/>
    <col min="10755" max="10755" width="10.3333333333333" style="324" customWidth="1"/>
    <col min="10756" max="10756" width="12.8333333333333" style="324" customWidth="1"/>
    <col min="10757" max="10757" width="11.5833333333333" style="324" customWidth="1"/>
    <col min="10758" max="10758" width="9.75" style="324" customWidth="1"/>
    <col min="10759" max="11003" width="9" style="324"/>
    <col min="11004" max="11004" width="38" style="324" customWidth="1"/>
    <col min="11005" max="11005" width="13.25" style="324" customWidth="1"/>
    <col min="11006" max="11007" width="12.8333333333333" style="324" customWidth="1"/>
    <col min="11008" max="11009" width="13.75" style="324" customWidth="1"/>
    <col min="11010" max="11010" width="11" style="324" customWidth="1"/>
    <col min="11011" max="11011" width="10.3333333333333" style="324" customWidth="1"/>
    <col min="11012" max="11012" width="12.8333333333333" style="324" customWidth="1"/>
    <col min="11013" max="11013" width="11.5833333333333" style="324" customWidth="1"/>
    <col min="11014" max="11014" width="9.75" style="324" customWidth="1"/>
    <col min="11015" max="11259" width="9" style="324"/>
    <col min="11260" max="11260" width="38" style="324" customWidth="1"/>
    <col min="11261" max="11261" width="13.25" style="324" customWidth="1"/>
    <col min="11262" max="11263" width="12.8333333333333" style="324" customWidth="1"/>
    <col min="11264" max="11265" width="13.75" style="324" customWidth="1"/>
    <col min="11266" max="11266" width="11" style="324" customWidth="1"/>
    <col min="11267" max="11267" width="10.3333333333333" style="324" customWidth="1"/>
    <col min="11268" max="11268" width="12.8333333333333" style="324" customWidth="1"/>
    <col min="11269" max="11269" width="11.5833333333333" style="324" customWidth="1"/>
    <col min="11270" max="11270" width="9.75" style="324" customWidth="1"/>
    <col min="11271" max="11515" width="9" style="324"/>
    <col min="11516" max="11516" width="38" style="324" customWidth="1"/>
    <col min="11517" max="11517" width="13.25" style="324" customWidth="1"/>
    <col min="11518" max="11519" width="12.8333333333333" style="324" customWidth="1"/>
    <col min="11520" max="11521" width="13.75" style="324" customWidth="1"/>
    <col min="11522" max="11522" width="11" style="324" customWidth="1"/>
    <col min="11523" max="11523" width="10.3333333333333" style="324" customWidth="1"/>
    <col min="11524" max="11524" width="12.8333333333333" style="324" customWidth="1"/>
    <col min="11525" max="11525" width="11.5833333333333" style="324" customWidth="1"/>
    <col min="11526" max="11526" width="9.75" style="324" customWidth="1"/>
    <col min="11527" max="11771" width="9" style="324"/>
    <col min="11772" max="11772" width="38" style="324" customWidth="1"/>
    <col min="11773" max="11773" width="13.25" style="324" customWidth="1"/>
    <col min="11774" max="11775" width="12.8333333333333" style="324" customWidth="1"/>
    <col min="11776" max="11777" width="13.75" style="324" customWidth="1"/>
    <col min="11778" max="11778" width="11" style="324" customWidth="1"/>
    <col min="11779" max="11779" width="10.3333333333333" style="324" customWidth="1"/>
    <col min="11780" max="11780" width="12.8333333333333" style="324" customWidth="1"/>
    <col min="11781" max="11781" width="11.5833333333333" style="324" customWidth="1"/>
    <col min="11782" max="11782" width="9.75" style="324" customWidth="1"/>
    <col min="11783" max="12027" width="9" style="324"/>
    <col min="12028" max="12028" width="38" style="324" customWidth="1"/>
    <col min="12029" max="12029" width="13.25" style="324" customWidth="1"/>
    <col min="12030" max="12031" width="12.8333333333333" style="324" customWidth="1"/>
    <col min="12032" max="12033" width="13.75" style="324" customWidth="1"/>
    <col min="12034" max="12034" width="11" style="324" customWidth="1"/>
    <col min="12035" max="12035" width="10.3333333333333" style="324" customWidth="1"/>
    <col min="12036" max="12036" width="12.8333333333333" style="324" customWidth="1"/>
    <col min="12037" max="12037" width="11.5833333333333" style="324" customWidth="1"/>
    <col min="12038" max="12038" width="9.75" style="324" customWidth="1"/>
    <col min="12039" max="12283" width="9" style="324"/>
    <col min="12284" max="12284" width="38" style="324" customWidth="1"/>
    <col min="12285" max="12285" width="13.25" style="324" customWidth="1"/>
    <col min="12286" max="12287" width="12.8333333333333" style="324" customWidth="1"/>
    <col min="12288" max="12289" width="13.75" style="324" customWidth="1"/>
    <col min="12290" max="12290" width="11" style="324" customWidth="1"/>
    <col min="12291" max="12291" width="10.3333333333333" style="324" customWidth="1"/>
    <col min="12292" max="12292" width="12.8333333333333" style="324" customWidth="1"/>
    <col min="12293" max="12293" width="11.5833333333333" style="324" customWidth="1"/>
    <col min="12294" max="12294" width="9.75" style="324" customWidth="1"/>
    <col min="12295" max="12539" width="9" style="324"/>
    <col min="12540" max="12540" width="38" style="324" customWidth="1"/>
    <col min="12541" max="12541" width="13.25" style="324" customWidth="1"/>
    <col min="12542" max="12543" width="12.8333333333333" style="324" customWidth="1"/>
    <col min="12544" max="12545" width="13.75" style="324" customWidth="1"/>
    <col min="12546" max="12546" width="11" style="324" customWidth="1"/>
    <col min="12547" max="12547" width="10.3333333333333" style="324" customWidth="1"/>
    <col min="12548" max="12548" width="12.8333333333333" style="324" customWidth="1"/>
    <col min="12549" max="12549" width="11.5833333333333" style="324" customWidth="1"/>
    <col min="12550" max="12550" width="9.75" style="324" customWidth="1"/>
    <col min="12551" max="12795" width="9" style="324"/>
    <col min="12796" max="12796" width="38" style="324" customWidth="1"/>
    <col min="12797" max="12797" width="13.25" style="324" customWidth="1"/>
    <col min="12798" max="12799" width="12.8333333333333" style="324" customWidth="1"/>
    <col min="12800" max="12801" width="13.75" style="324" customWidth="1"/>
    <col min="12802" max="12802" width="11" style="324" customWidth="1"/>
    <col min="12803" max="12803" width="10.3333333333333" style="324" customWidth="1"/>
    <col min="12804" max="12804" width="12.8333333333333" style="324" customWidth="1"/>
    <col min="12805" max="12805" width="11.5833333333333" style="324" customWidth="1"/>
    <col min="12806" max="12806" width="9.75" style="324" customWidth="1"/>
    <col min="12807" max="13051" width="9" style="324"/>
    <col min="13052" max="13052" width="38" style="324" customWidth="1"/>
    <col min="13053" max="13053" width="13.25" style="324" customWidth="1"/>
    <col min="13054" max="13055" width="12.8333333333333" style="324" customWidth="1"/>
    <col min="13056" max="13057" width="13.75" style="324" customWidth="1"/>
    <col min="13058" max="13058" width="11" style="324" customWidth="1"/>
    <col min="13059" max="13059" width="10.3333333333333" style="324" customWidth="1"/>
    <col min="13060" max="13060" width="12.8333333333333" style="324" customWidth="1"/>
    <col min="13061" max="13061" width="11.5833333333333" style="324" customWidth="1"/>
    <col min="13062" max="13062" width="9.75" style="324" customWidth="1"/>
    <col min="13063" max="13307" width="9" style="324"/>
    <col min="13308" max="13308" width="38" style="324" customWidth="1"/>
    <col min="13309" max="13309" width="13.25" style="324" customWidth="1"/>
    <col min="13310" max="13311" width="12.8333333333333" style="324" customWidth="1"/>
    <col min="13312" max="13313" width="13.75" style="324" customWidth="1"/>
    <col min="13314" max="13314" width="11" style="324" customWidth="1"/>
    <col min="13315" max="13315" width="10.3333333333333" style="324" customWidth="1"/>
    <col min="13316" max="13316" width="12.8333333333333" style="324" customWidth="1"/>
    <col min="13317" max="13317" width="11.5833333333333" style="324" customWidth="1"/>
    <col min="13318" max="13318" width="9.75" style="324" customWidth="1"/>
    <col min="13319" max="13563" width="9" style="324"/>
    <col min="13564" max="13564" width="38" style="324" customWidth="1"/>
    <col min="13565" max="13565" width="13.25" style="324" customWidth="1"/>
    <col min="13566" max="13567" width="12.8333333333333" style="324" customWidth="1"/>
    <col min="13568" max="13569" width="13.75" style="324" customWidth="1"/>
    <col min="13570" max="13570" width="11" style="324" customWidth="1"/>
    <col min="13571" max="13571" width="10.3333333333333" style="324" customWidth="1"/>
    <col min="13572" max="13572" width="12.8333333333333" style="324" customWidth="1"/>
    <col min="13573" max="13573" width="11.5833333333333" style="324" customWidth="1"/>
    <col min="13574" max="13574" width="9.75" style="324" customWidth="1"/>
    <col min="13575" max="13819" width="9" style="324"/>
    <col min="13820" max="13820" width="38" style="324" customWidth="1"/>
    <col min="13821" max="13821" width="13.25" style="324" customWidth="1"/>
    <col min="13822" max="13823" width="12.8333333333333" style="324" customWidth="1"/>
    <col min="13824" max="13825" width="13.75" style="324" customWidth="1"/>
    <col min="13826" max="13826" width="11" style="324" customWidth="1"/>
    <col min="13827" max="13827" width="10.3333333333333" style="324" customWidth="1"/>
    <col min="13828" max="13828" width="12.8333333333333" style="324" customWidth="1"/>
    <col min="13829" max="13829" width="11.5833333333333" style="324" customWidth="1"/>
    <col min="13830" max="13830" width="9.75" style="324" customWidth="1"/>
    <col min="13831" max="14075" width="9" style="324"/>
    <col min="14076" max="14076" width="38" style="324" customWidth="1"/>
    <col min="14077" max="14077" width="13.25" style="324" customWidth="1"/>
    <col min="14078" max="14079" width="12.8333333333333" style="324" customWidth="1"/>
    <col min="14080" max="14081" width="13.75" style="324" customWidth="1"/>
    <col min="14082" max="14082" width="11" style="324" customWidth="1"/>
    <col min="14083" max="14083" width="10.3333333333333" style="324" customWidth="1"/>
    <col min="14084" max="14084" width="12.8333333333333" style="324" customWidth="1"/>
    <col min="14085" max="14085" width="11.5833333333333" style="324" customWidth="1"/>
    <col min="14086" max="14086" width="9.75" style="324" customWidth="1"/>
    <col min="14087" max="14331" width="9" style="324"/>
    <col min="14332" max="14332" width="38" style="324" customWidth="1"/>
    <col min="14333" max="14333" width="13.25" style="324" customWidth="1"/>
    <col min="14334" max="14335" width="12.8333333333333" style="324" customWidth="1"/>
    <col min="14336" max="14337" width="13.75" style="324" customWidth="1"/>
    <col min="14338" max="14338" width="11" style="324" customWidth="1"/>
    <col min="14339" max="14339" width="10.3333333333333" style="324" customWidth="1"/>
    <col min="14340" max="14340" width="12.8333333333333" style="324" customWidth="1"/>
    <col min="14341" max="14341" width="11.5833333333333" style="324" customWidth="1"/>
    <col min="14342" max="14342" width="9.75" style="324" customWidth="1"/>
    <col min="14343" max="14587" width="9" style="324"/>
    <col min="14588" max="14588" width="38" style="324" customWidth="1"/>
    <col min="14589" max="14589" width="13.25" style="324" customWidth="1"/>
    <col min="14590" max="14591" width="12.8333333333333" style="324" customWidth="1"/>
    <col min="14592" max="14593" width="13.75" style="324" customWidth="1"/>
    <col min="14594" max="14594" width="11" style="324" customWidth="1"/>
    <col min="14595" max="14595" width="10.3333333333333" style="324" customWidth="1"/>
    <col min="14596" max="14596" width="12.8333333333333" style="324" customWidth="1"/>
    <col min="14597" max="14597" width="11.5833333333333" style="324" customWidth="1"/>
    <col min="14598" max="14598" width="9.75" style="324" customWidth="1"/>
    <col min="14599" max="14843" width="9" style="324"/>
    <col min="14844" max="14844" width="38" style="324" customWidth="1"/>
    <col min="14845" max="14845" width="13.25" style="324" customWidth="1"/>
    <col min="14846" max="14847" width="12.8333333333333" style="324" customWidth="1"/>
    <col min="14848" max="14849" width="13.75" style="324" customWidth="1"/>
    <col min="14850" max="14850" width="11" style="324" customWidth="1"/>
    <col min="14851" max="14851" width="10.3333333333333" style="324" customWidth="1"/>
    <col min="14852" max="14852" width="12.8333333333333" style="324" customWidth="1"/>
    <col min="14853" max="14853" width="11.5833333333333" style="324" customWidth="1"/>
    <col min="14854" max="14854" width="9.75" style="324" customWidth="1"/>
    <col min="14855" max="15099" width="9" style="324"/>
    <col min="15100" max="15100" width="38" style="324" customWidth="1"/>
    <col min="15101" max="15101" width="13.25" style="324" customWidth="1"/>
    <col min="15102" max="15103" width="12.8333333333333" style="324" customWidth="1"/>
    <col min="15104" max="15105" width="13.75" style="324" customWidth="1"/>
    <col min="15106" max="15106" width="11" style="324" customWidth="1"/>
    <col min="15107" max="15107" width="10.3333333333333" style="324" customWidth="1"/>
    <col min="15108" max="15108" width="12.8333333333333" style="324" customWidth="1"/>
    <col min="15109" max="15109" width="11.5833333333333" style="324" customWidth="1"/>
    <col min="15110" max="15110" width="9.75" style="324" customWidth="1"/>
    <col min="15111" max="15355" width="9" style="324"/>
    <col min="15356" max="15356" width="38" style="324" customWidth="1"/>
    <col min="15357" max="15357" width="13.25" style="324" customWidth="1"/>
    <col min="15358" max="15359" width="12.8333333333333" style="324" customWidth="1"/>
    <col min="15360" max="15361" width="13.75" style="324" customWidth="1"/>
    <col min="15362" max="15362" width="11" style="324" customWidth="1"/>
    <col min="15363" max="15363" width="10.3333333333333" style="324" customWidth="1"/>
    <col min="15364" max="15364" width="12.8333333333333" style="324" customWidth="1"/>
    <col min="15365" max="15365" width="11.5833333333333" style="324" customWidth="1"/>
    <col min="15366" max="15366" width="9.75" style="324" customWidth="1"/>
    <col min="15367" max="15611" width="9" style="324"/>
    <col min="15612" max="15612" width="38" style="324" customWidth="1"/>
    <col min="15613" max="15613" width="13.25" style="324" customWidth="1"/>
    <col min="15614" max="15615" width="12.8333333333333" style="324" customWidth="1"/>
    <col min="15616" max="15617" width="13.75" style="324" customWidth="1"/>
    <col min="15618" max="15618" width="11" style="324" customWidth="1"/>
    <col min="15619" max="15619" width="10.3333333333333" style="324" customWidth="1"/>
    <col min="15620" max="15620" width="12.8333333333333" style="324" customWidth="1"/>
    <col min="15621" max="15621" width="11.5833333333333" style="324" customWidth="1"/>
    <col min="15622" max="15622" width="9.75" style="324" customWidth="1"/>
    <col min="15623" max="15867" width="9" style="324"/>
    <col min="15868" max="15868" width="38" style="324" customWidth="1"/>
    <col min="15869" max="15869" width="13.25" style="324" customWidth="1"/>
    <col min="15870" max="15871" width="12.8333333333333" style="324" customWidth="1"/>
    <col min="15872" max="15873" width="13.75" style="324" customWidth="1"/>
    <col min="15874" max="15874" width="11" style="324" customWidth="1"/>
    <col min="15875" max="15875" width="10.3333333333333" style="324" customWidth="1"/>
    <col min="15876" max="15876" width="12.8333333333333" style="324" customWidth="1"/>
    <col min="15877" max="15877" width="11.5833333333333" style="324" customWidth="1"/>
    <col min="15878" max="15878" width="9.75" style="324" customWidth="1"/>
    <col min="15879" max="16123" width="9" style="324"/>
    <col min="16124" max="16124" width="38" style="324" customWidth="1"/>
    <col min="16125" max="16125" width="13.25" style="324" customWidth="1"/>
    <col min="16126" max="16127" width="12.8333333333333" style="324" customWidth="1"/>
    <col min="16128" max="16129" width="13.75" style="324" customWidth="1"/>
    <col min="16130" max="16130" width="11" style="324" customWidth="1"/>
    <col min="16131" max="16131" width="10.3333333333333" style="324" customWidth="1"/>
    <col min="16132" max="16132" width="12.8333333333333" style="324" customWidth="1"/>
    <col min="16133" max="16133" width="11.5833333333333" style="324" customWidth="1"/>
    <col min="16134" max="16134" width="9.75" style="324" customWidth="1"/>
    <col min="16135" max="16384" width="9" style="324"/>
  </cols>
  <sheetData>
    <row r="1" ht="20.25" spans="1:1">
      <c r="A1" s="333"/>
    </row>
    <row r="2" ht="25.5" customHeight="1" spans="1:10">
      <c r="A2" s="335" t="s">
        <v>32</v>
      </c>
      <c r="B2" s="335"/>
      <c r="C2" s="335"/>
      <c r="D2" s="335"/>
      <c r="E2" s="335"/>
      <c r="F2" s="335"/>
      <c r="G2" s="335"/>
      <c r="H2" s="335"/>
      <c r="I2" s="335"/>
      <c r="J2" s="335"/>
    </row>
    <row r="3" ht="25.5" customHeight="1" spans="1:10">
      <c r="A3" s="401"/>
      <c r="B3" s="402"/>
      <c r="C3" s="403"/>
      <c r="D3" s="403"/>
      <c r="E3" s="403"/>
      <c r="F3" s="403"/>
      <c r="H3" s="324"/>
      <c r="I3" s="427" t="s">
        <v>33</v>
      </c>
      <c r="J3" s="427"/>
    </row>
    <row r="4" s="399" customFormat="1" ht="18.75" customHeight="1" spans="1:10">
      <c r="A4" s="404" t="s">
        <v>34</v>
      </c>
      <c r="B4" s="405" t="s">
        <v>35</v>
      </c>
      <c r="C4" s="406"/>
      <c r="D4" s="406"/>
      <c r="E4" s="406"/>
      <c r="F4" s="406"/>
      <c r="G4" s="423"/>
      <c r="H4" s="405" t="s">
        <v>36</v>
      </c>
      <c r="I4" s="406"/>
      <c r="J4" s="423"/>
    </row>
    <row r="5" s="399" customFormat="1" ht="18.75" customHeight="1" spans="1:10">
      <c r="A5" s="407"/>
      <c r="B5" s="404" t="s">
        <v>37</v>
      </c>
      <c r="C5" s="408" t="s">
        <v>38</v>
      </c>
      <c r="D5" s="409" t="s">
        <v>39</v>
      </c>
      <c r="E5" s="408" t="s">
        <v>40</v>
      </c>
      <c r="F5" s="405" t="s">
        <v>41</v>
      </c>
      <c r="G5" s="423"/>
      <c r="H5" s="408" t="s">
        <v>42</v>
      </c>
      <c r="I5" s="405" t="s">
        <v>43</v>
      </c>
      <c r="J5" s="423"/>
    </row>
    <row r="6" s="399" customFormat="1" ht="18.75" customHeight="1" spans="1:10">
      <c r="A6" s="410"/>
      <c r="B6" s="410"/>
      <c r="C6" s="411"/>
      <c r="D6" s="412"/>
      <c r="E6" s="411"/>
      <c r="F6" s="424" t="s">
        <v>44</v>
      </c>
      <c r="G6" s="425" t="s">
        <v>45</v>
      </c>
      <c r="H6" s="411"/>
      <c r="I6" s="424" t="s">
        <v>44</v>
      </c>
      <c r="J6" s="425" t="s">
        <v>45</v>
      </c>
    </row>
    <row r="7" s="324" customFormat="1" ht="18" customHeight="1" spans="1:10">
      <c r="A7" s="413" t="s">
        <v>46</v>
      </c>
      <c r="B7" s="345">
        <f>SUM(B8:B21)</f>
        <v>431268</v>
      </c>
      <c r="C7" s="345">
        <f>SUM(C8:C21)</f>
        <v>429332</v>
      </c>
      <c r="D7" s="414">
        <f t="shared" ref="D7:D31" si="0">C7/B7*100</f>
        <v>99.551091200831</v>
      </c>
      <c r="E7" s="345">
        <f>SUM(E8:E21)</f>
        <v>408300</v>
      </c>
      <c r="F7" s="345">
        <f t="shared" ref="F7:F31" si="1">C7-E7</f>
        <v>21032</v>
      </c>
      <c r="G7" s="346">
        <f t="shared" ref="G7:G31" si="2">F7/E7*100</f>
        <v>5.15111437668381</v>
      </c>
      <c r="H7" s="345">
        <f>SUM(H8:H21)</f>
        <v>450792.07</v>
      </c>
      <c r="I7" s="345">
        <f t="shared" ref="I7:I31" si="3">H7-C7</f>
        <v>21460.07</v>
      </c>
      <c r="J7" s="414">
        <f t="shared" ref="J7:J31" si="4">I7/C7*100</f>
        <v>4.99847903254358</v>
      </c>
    </row>
    <row r="8" ht="18" customHeight="1" spans="1:10">
      <c r="A8" s="413" t="s">
        <v>47</v>
      </c>
      <c r="B8" s="348">
        <v>152409</v>
      </c>
      <c r="C8" s="348">
        <v>156808</v>
      </c>
      <c r="D8" s="415">
        <f t="shared" si="0"/>
        <v>102.886312488108</v>
      </c>
      <c r="E8" s="348">
        <v>140202</v>
      </c>
      <c r="F8" s="348">
        <f t="shared" si="1"/>
        <v>16606</v>
      </c>
      <c r="G8" s="415">
        <f t="shared" si="2"/>
        <v>11.8443388824696</v>
      </c>
      <c r="H8" s="348">
        <v>165285</v>
      </c>
      <c r="I8" s="348">
        <f t="shared" si="3"/>
        <v>8477</v>
      </c>
      <c r="J8" s="415">
        <f t="shared" si="4"/>
        <v>5.40597418499056</v>
      </c>
    </row>
    <row r="9" ht="18" customHeight="1" spans="1:10">
      <c r="A9" s="413" t="s">
        <v>48</v>
      </c>
      <c r="B9" s="348">
        <v>47959</v>
      </c>
      <c r="C9" s="348">
        <v>45911</v>
      </c>
      <c r="D9" s="415">
        <f t="shared" si="0"/>
        <v>95.7296857732647</v>
      </c>
      <c r="E9" s="348">
        <v>41552</v>
      </c>
      <c r="F9" s="348">
        <f t="shared" si="1"/>
        <v>4359</v>
      </c>
      <c r="G9" s="415">
        <f t="shared" si="2"/>
        <v>10.4904697728148</v>
      </c>
      <c r="H9" s="348">
        <v>52199.78</v>
      </c>
      <c r="I9" s="348">
        <f t="shared" si="3"/>
        <v>6288.78</v>
      </c>
      <c r="J9" s="415">
        <f t="shared" si="4"/>
        <v>13.6977630633182</v>
      </c>
    </row>
    <row r="10" ht="18" customHeight="1" spans="1:10">
      <c r="A10" s="413" t="s">
        <v>49</v>
      </c>
      <c r="B10" s="348">
        <v>13642</v>
      </c>
      <c r="C10" s="348">
        <v>15205</v>
      </c>
      <c r="D10" s="415">
        <f t="shared" si="0"/>
        <v>111.457264330743</v>
      </c>
      <c r="E10" s="348">
        <v>13812</v>
      </c>
      <c r="F10" s="348">
        <f t="shared" si="1"/>
        <v>1393</v>
      </c>
      <c r="G10" s="415">
        <f t="shared" si="2"/>
        <v>10.0854329568491</v>
      </c>
      <c r="H10" s="348">
        <v>15901.06</v>
      </c>
      <c r="I10" s="348">
        <f t="shared" si="3"/>
        <v>696.059999999999</v>
      </c>
      <c r="J10" s="415">
        <f t="shared" si="4"/>
        <v>4.57783623807958</v>
      </c>
    </row>
    <row r="11" ht="18" customHeight="1" spans="1:10">
      <c r="A11" s="413" t="s">
        <v>50</v>
      </c>
      <c r="B11" s="348">
        <v>8547</v>
      </c>
      <c r="C11" s="348">
        <v>8856</v>
      </c>
      <c r="D11" s="415">
        <f t="shared" si="0"/>
        <v>103.615303615304</v>
      </c>
      <c r="E11" s="348">
        <v>7568</v>
      </c>
      <c r="F11" s="348">
        <f t="shared" si="1"/>
        <v>1288</v>
      </c>
      <c r="G11" s="415">
        <f t="shared" si="2"/>
        <v>17.0190274841438</v>
      </c>
      <c r="H11" s="348">
        <v>9404.72</v>
      </c>
      <c r="I11" s="348">
        <f t="shared" si="3"/>
        <v>548.719999999999</v>
      </c>
      <c r="J11" s="415">
        <f t="shared" si="4"/>
        <v>6.19602529358626</v>
      </c>
    </row>
    <row r="12" ht="18" customHeight="1" spans="1:10">
      <c r="A12" s="413" t="s">
        <v>51</v>
      </c>
      <c r="B12" s="348">
        <v>30164</v>
      </c>
      <c r="C12" s="348">
        <v>32687</v>
      </c>
      <c r="D12" s="415">
        <f t="shared" si="0"/>
        <v>108.364275295054</v>
      </c>
      <c r="E12" s="348">
        <v>28687</v>
      </c>
      <c r="F12" s="348">
        <f t="shared" si="1"/>
        <v>4000</v>
      </c>
      <c r="G12" s="415">
        <f t="shared" si="2"/>
        <v>13.9435981455014</v>
      </c>
      <c r="H12" s="348">
        <v>32854.61</v>
      </c>
      <c r="I12" s="348">
        <f t="shared" si="3"/>
        <v>167.610000000001</v>
      </c>
      <c r="J12" s="415">
        <f t="shared" si="4"/>
        <v>0.512772661914524</v>
      </c>
    </row>
    <row r="13" ht="18" customHeight="1" spans="1:10">
      <c r="A13" s="413" t="s">
        <v>52</v>
      </c>
      <c r="B13" s="348">
        <v>24630</v>
      </c>
      <c r="C13" s="348">
        <v>25595</v>
      </c>
      <c r="D13" s="415">
        <f t="shared" si="0"/>
        <v>103.917986195696</v>
      </c>
      <c r="E13" s="348">
        <v>23674</v>
      </c>
      <c r="F13" s="348">
        <f t="shared" si="1"/>
        <v>1921</v>
      </c>
      <c r="G13" s="415">
        <f t="shared" si="2"/>
        <v>8.11438709132381</v>
      </c>
      <c r="H13" s="348">
        <v>25602.73</v>
      </c>
      <c r="I13" s="348">
        <f t="shared" si="3"/>
        <v>7.72999999999956</v>
      </c>
      <c r="J13" s="415">
        <f t="shared" si="4"/>
        <v>0.0302012111740557</v>
      </c>
    </row>
    <row r="14" ht="18" customHeight="1" spans="1:10">
      <c r="A14" s="413" t="s">
        <v>53</v>
      </c>
      <c r="B14" s="348">
        <v>15123</v>
      </c>
      <c r="C14" s="348">
        <v>17097</v>
      </c>
      <c r="D14" s="415">
        <f t="shared" si="0"/>
        <v>113.052965681412</v>
      </c>
      <c r="E14" s="348">
        <v>14667</v>
      </c>
      <c r="F14" s="348">
        <f t="shared" si="1"/>
        <v>2430</v>
      </c>
      <c r="G14" s="415">
        <f t="shared" si="2"/>
        <v>16.5678052771528</v>
      </c>
      <c r="H14" s="348">
        <v>17659.42</v>
      </c>
      <c r="I14" s="348">
        <f t="shared" si="3"/>
        <v>562.419999999998</v>
      </c>
      <c r="J14" s="415">
        <f t="shared" si="4"/>
        <v>3.28958296777211</v>
      </c>
    </row>
    <row r="15" ht="18" customHeight="1" spans="1:10">
      <c r="A15" s="413" t="s">
        <v>54</v>
      </c>
      <c r="B15" s="348">
        <v>10596</v>
      </c>
      <c r="C15" s="348">
        <v>11326</v>
      </c>
      <c r="D15" s="415">
        <f t="shared" si="0"/>
        <v>106.889392223481</v>
      </c>
      <c r="E15" s="348">
        <v>10754</v>
      </c>
      <c r="F15" s="348">
        <f t="shared" si="1"/>
        <v>572</v>
      </c>
      <c r="G15" s="415">
        <f t="shared" si="2"/>
        <v>5.31895108796727</v>
      </c>
      <c r="H15" s="348">
        <v>11443.69</v>
      </c>
      <c r="I15" s="348">
        <f t="shared" si="3"/>
        <v>117.690000000001</v>
      </c>
      <c r="J15" s="415">
        <f t="shared" si="4"/>
        <v>1.03911354405792</v>
      </c>
    </row>
    <row r="16" ht="18" customHeight="1" spans="1:10">
      <c r="A16" s="413" t="s">
        <v>55</v>
      </c>
      <c r="B16" s="348">
        <v>29748</v>
      </c>
      <c r="C16" s="348">
        <v>19295</v>
      </c>
      <c r="D16" s="415">
        <f t="shared" si="0"/>
        <v>64.8615032943391</v>
      </c>
      <c r="E16" s="348">
        <v>31902</v>
      </c>
      <c r="F16" s="348">
        <f t="shared" si="1"/>
        <v>-12607</v>
      </c>
      <c r="G16" s="415">
        <f t="shared" si="2"/>
        <v>-39.5178985643533</v>
      </c>
      <c r="H16" s="348">
        <v>20611.09</v>
      </c>
      <c r="I16" s="348">
        <f t="shared" si="3"/>
        <v>1316.09</v>
      </c>
      <c r="J16" s="415">
        <f t="shared" si="4"/>
        <v>6.82088623995854</v>
      </c>
    </row>
    <row r="17" ht="18" customHeight="1" spans="1:10">
      <c r="A17" s="413" t="s">
        <v>56</v>
      </c>
      <c r="B17" s="348">
        <v>32300</v>
      </c>
      <c r="C17" s="348">
        <v>29644</v>
      </c>
      <c r="D17" s="415">
        <f t="shared" si="0"/>
        <v>91.7770897832817</v>
      </c>
      <c r="E17" s="348">
        <v>29607</v>
      </c>
      <c r="F17" s="348">
        <f t="shared" si="1"/>
        <v>37</v>
      </c>
      <c r="G17" s="415">
        <f t="shared" si="2"/>
        <v>0.124970446178269</v>
      </c>
      <c r="H17" s="348">
        <v>29713.11</v>
      </c>
      <c r="I17" s="348">
        <f t="shared" si="3"/>
        <v>69.1100000000006</v>
      </c>
      <c r="J17" s="415">
        <f t="shared" si="4"/>
        <v>0.233133180407504</v>
      </c>
    </row>
    <row r="18" ht="18" customHeight="1" spans="1:10">
      <c r="A18" s="413" t="s">
        <v>57</v>
      </c>
      <c r="B18" s="348">
        <v>15221</v>
      </c>
      <c r="C18" s="348">
        <v>29893</v>
      </c>
      <c r="D18" s="415">
        <f t="shared" si="0"/>
        <v>196.393141055121</v>
      </c>
      <c r="E18" s="348">
        <v>13573</v>
      </c>
      <c r="F18" s="348">
        <f t="shared" si="1"/>
        <v>16320</v>
      </c>
      <c r="G18" s="415">
        <f t="shared" si="2"/>
        <v>120.238709202092</v>
      </c>
      <c r="H18" s="348">
        <v>30764.5</v>
      </c>
      <c r="I18" s="348">
        <f t="shared" si="3"/>
        <v>871.5</v>
      </c>
      <c r="J18" s="415">
        <f t="shared" si="4"/>
        <v>2.91539825377179</v>
      </c>
    </row>
    <row r="19" ht="18" customHeight="1" spans="1:10">
      <c r="A19" s="413" t="s">
        <v>58</v>
      </c>
      <c r="B19" s="348">
        <v>48932</v>
      </c>
      <c r="C19" s="348">
        <v>34925</v>
      </c>
      <c r="D19" s="415">
        <f t="shared" si="0"/>
        <v>71.3745606147306</v>
      </c>
      <c r="E19" s="348">
        <v>50374</v>
      </c>
      <c r="F19" s="348">
        <f t="shared" si="1"/>
        <v>-15449</v>
      </c>
      <c r="G19" s="415">
        <f t="shared" si="2"/>
        <v>-30.6685988803748</v>
      </c>
      <c r="H19" s="348">
        <v>37123.37</v>
      </c>
      <c r="I19" s="348">
        <f t="shared" si="3"/>
        <v>2198.37</v>
      </c>
      <c r="J19" s="415">
        <f t="shared" si="4"/>
        <v>6.29454545454546</v>
      </c>
    </row>
    <row r="20" ht="18" customHeight="1" spans="1:10">
      <c r="A20" s="413" t="s">
        <v>59</v>
      </c>
      <c r="B20" s="348">
        <v>1907</v>
      </c>
      <c r="C20" s="348">
        <v>2078</v>
      </c>
      <c r="D20" s="415">
        <f t="shared" si="0"/>
        <v>108.966963817514</v>
      </c>
      <c r="E20" s="348">
        <v>1896</v>
      </c>
      <c r="F20" s="348">
        <f t="shared" si="1"/>
        <v>182</v>
      </c>
      <c r="G20" s="415">
        <f t="shared" si="2"/>
        <v>9.59915611814346</v>
      </c>
      <c r="H20" s="348">
        <v>2223.99</v>
      </c>
      <c r="I20" s="348">
        <f t="shared" si="3"/>
        <v>145.99</v>
      </c>
      <c r="J20" s="415">
        <f t="shared" si="4"/>
        <v>7.02550529355148</v>
      </c>
    </row>
    <row r="21" ht="18" customHeight="1" spans="1:10">
      <c r="A21" s="413" t="s">
        <v>60</v>
      </c>
      <c r="B21" s="348">
        <v>90</v>
      </c>
      <c r="C21" s="348">
        <v>12</v>
      </c>
      <c r="D21" s="415">
        <f t="shared" si="0"/>
        <v>13.3333333333333</v>
      </c>
      <c r="E21" s="348">
        <v>32</v>
      </c>
      <c r="F21" s="348">
        <f t="shared" si="1"/>
        <v>-20</v>
      </c>
      <c r="G21" s="415">
        <f t="shared" si="2"/>
        <v>-62.5</v>
      </c>
      <c r="H21" s="348">
        <v>5</v>
      </c>
      <c r="I21" s="348">
        <f t="shared" si="3"/>
        <v>-7</v>
      </c>
      <c r="J21" s="415">
        <f t="shared" si="4"/>
        <v>-58.3333333333333</v>
      </c>
    </row>
    <row r="22" s="324" customFormat="1" ht="18" customHeight="1" spans="1:10">
      <c r="A22" s="413" t="s">
        <v>61</v>
      </c>
      <c r="B22" s="345">
        <f>SUM(B23:B30)</f>
        <v>560312</v>
      </c>
      <c r="C22" s="345">
        <f>SUM(C23:C30)</f>
        <v>539785</v>
      </c>
      <c r="D22" s="414">
        <f t="shared" si="0"/>
        <v>96.3365053755765</v>
      </c>
      <c r="E22" s="345">
        <f>SUM(E23:E30)</f>
        <v>532093</v>
      </c>
      <c r="F22" s="345">
        <f t="shared" si="1"/>
        <v>7692</v>
      </c>
      <c r="G22" s="346">
        <f t="shared" si="2"/>
        <v>1.44561195129423</v>
      </c>
      <c r="H22" s="345">
        <f t="shared" ref="H22" si="5">SUM(H23:H30)</f>
        <v>547408.29</v>
      </c>
      <c r="I22" s="345">
        <f t="shared" si="3"/>
        <v>7623.29000000004</v>
      </c>
      <c r="J22" s="414">
        <f t="shared" si="4"/>
        <v>1.41228266809934</v>
      </c>
    </row>
    <row r="23" ht="18" customHeight="1" spans="1:10">
      <c r="A23" s="413" t="s">
        <v>62</v>
      </c>
      <c r="B23" s="348">
        <v>39966</v>
      </c>
      <c r="C23" s="348">
        <v>37483</v>
      </c>
      <c r="D23" s="415">
        <f t="shared" si="0"/>
        <v>93.7872191362658</v>
      </c>
      <c r="E23" s="426">
        <v>35228</v>
      </c>
      <c r="F23" s="348">
        <f t="shared" si="1"/>
        <v>2255</v>
      </c>
      <c r="G23" s="415">
        <f t="shared" si="2"/>
        <v>6.40115816963779</v>
      </c>
      <c r="H23" s="348">
        <v>39914.83</v>
      </c>
      <c r="I23" s="348">
        <f t="shared" si="3"/>
        <v>2431.83</v>
      </c>
      <c r="J23" s="415">
        <f t="shared" si="4"/>
        <v>6.487821145586</v>
      </c>
    </row>
    <row r="24" ht="18" customHeight="1" spans="1:10">
      <c r="A24" s="413" t="s">
        <v>63</v>
      </c>
      <c r="B24" s="348">
        <v>82821</v>
      </c>
      <c r="C24" s="348">
        <v>54726</v>
      </c>
      <c r="D24" s="415">
        <f t="shared" si="0"/>
        <v>66.0774441264897</v>
      </c>
      <c r="E24" s="426">
        <v>77086</v>
      </c>
      <c r="F24" s="348">
        <f t="shared" si="1"/>
        <v>-22360</v>
      </c>
      <c r="G24" s="415">
        <f t="shared" si="2"/>
        <v>-29.006564097242</v>
      </c>
      <c r="H24" s="348">
        <f>80045.86-20000</f>
        <v>60045.86</v>
      </c>
      <c r="I24" s="348">
        <f t="shared" si="3"/>
        <v>5319.86</v>
      </c>
      <c r="J24" s="415">
        <f t="shared" si="4"/>
        <v>9.72090048605782</v>
      </c>
    </row>
    <row r="25" ht="18" customHeight="1" spans="1:10">
      <c r="A25" s="413" t="s">
        <v>64</v>
      </c>
      <c r="B25" s="348">
        <v>82206</v>
      </c>
      <c r="C25" s="348">
        <v>78088</v>
      </c>
      <c r="D25" s="415">
        <f t="shared" si="0"/>
        <v>94.990633287108</v>
      </c>
      <c r="E25" s="426">
        <v>83842</v>
      </c>
      <c r="F25" s="348">
        <f t="shared" si="1"/>
        <v>-5754</v>
      </c>
      <c r="G25" s="415">
        <f t="shared" si="2"/>
        <v>-6.86290880465638</v>
      </c>
      <c r="H25" s="348">
        <f>73846.09-4500+15000</f>
        <v>84346.09</v>
      </c>
      <c r="I25" s="348">
        <f t="shared" si="3"/>
        <v>6258.09</v>
      </c>
      <c r="J25" s="415">
        <f t="shared" si="4"/>
        <v>8.01415070177235</v>
      </c>
    </row>
    <row r="26" ht="18" customHeight="1" spans="1:10">
      <c r="A26" s="413" t="s">
        <v>65</v>
      </c>
      <c r="B26" s="348">
        <v>130</v>
      </c>
      <c r="C26" s="348">
        <v>320</v>
      </c>
      <c r="D26" s="415">
        <f t="shared" si="0"/>
        <v>246.153846153846</v>
      </c>
      <c r="E26" s="426">
        <v>400</v>
      </c>
      <c r="F26" s="348">
        <f t="shared" si="1"/>
        <v>-80</v>
      </c>
      <c r="G26" s="415">
        <f t="shared" si="2"/>
        <v>-20</v>
      </c>
      <c r="H26" s="348">
        <v>300</v>
      </c>
      <c r="I26" s="348">
        <f t="shared" si="3"/>
        <v>-20</v>
      </c>
      <c r="J26" s="415">
        <f t="shared" si="4"/>
        <v>-6.25</v>
      </c>
    </row>
    <row r="27" ht="18" customHeight="1" spans="1:10">
      <c r="A27" s="413" t="s">
        <v>66</v>
      </c>
      <c r="B27" s="348">
        <v>320863</v>
      </c>
      <c r="C27" s="348">
        <v>287220</v>
      </c>
      <c r="D27" s="415">
        <f t="shared" si="0"/>
        <v>89.5148396667737</v>
      </c>
      <c r="E27" s="426">
        <v>301725</v>
      </c>
      <c r="F27" s="348">
        <f t="shared" si="1"/>
        <v>-14505</v>
      </c>
      <c r="G27" s="415">
        <f t="shared" si="2"/>
        <v>-4.80735769326373</v>
      </c>
      <c r="H27" s="348">
        <f>346759.53-5000</f>
        <v>341759.53</v>
      </c>
      <c r="I27" s="348">
        <f t="shared" si="3"/>
        <v>54539.53</v>
      </c>
      <c r="J27" s="415">
        <f t="shared" si="4"/>
        <v>18.9887647099784</v>
      </c>
    </row>
    <row r="28" ht="18" customHeight="1" spans="1:10">
      <c r="A28" s="413" t="s">
        <v>67</v>
      </c>
      <c r="B28" s="348">
        <v>110</v>
      </c>
      <c r="C28" s="348">
        <v>49</v>
      </c>
      <c r="D28" s="415">
        <f t="shared" si="0"/>
        <v>44.5454545454545</v>
      </c>
      <c r="E28" s="426">
        <v>55</v>
      </c>
      <c r="F28" s="348">
        <f t="shared" si="1"/>
        <v>-6</v>
      </c>
      <c r="G28" s="415">
        <f t="shared" si="2"/>
        <v>-10.9090909090909</v>
      </c>
      <c r="H28" s="348"/>
      <c r="I28" s="348">
        <f t="shared" si="3"/>
        <v>-49</v>
      </c>
      <c r="J28" s="415">
        <f t="shared" si="4"/>
        <v>-100</v>
      </c>
    </row>
    <row r="29" ht="18" customHeight="1" spans="1:10">
      <c r="A29" s="416" t="s">
        <v>68</v>
      </c>
      <c r="B29" s="348">
        <v>30326</v>
      </c>
      <c r="C29" s="348">
        <v>14496</v>
      </c>
      <c r="D29" s="415">
        <f t="shared" si="0"/>
        <v>47.8005671700851</v>
      </c>
      <c r="E29" s="426">
        <v>30090</v>
      </c>
      <c r="F29" s="348">
        <f t="shared" si="1"/>
        <v>-15594</v>
      </c>
      <c r="G29" s="415">
        <f t="shared" si="2"/>
        <v>-51.8245264207378</v>
      </c>
      <c r="H29" s="348">
        <v>14703.1</v>
      </c>
      <c r="I29" s="348">
        <f t="shared" si="3"/>
        <v>207.1</v>
      </c>
      <c r="J29" s="415">
        <f t="shared" si="4"/>
        <v>1.42866997792495</v>
      </c>
    </row>
    <row r="30" ht="18" customHeight="1" spans="1:10">
      <c r="A30" s="413" t="s">
        <v>69</v>
      </c>
      <c r="B30" s="348">
        <v>3890</v>
      </c>
      <c r="C30" s="348">
        <v>67403</v>
      </c>
      <c r="D30" s="415">
        <f t="shared" si="0"/>
        <v>1732.72493573265</v>
      </c>
      <c r="E30" s="426">
        <v>3667</v>
      </c>
      <c r="F30" s="348">
        <f t="shared" si="1"/>
        <v>63736</v>
      </c>
      <c r="G30" s="415">
        <f t="shared" si="2"/>
        <v>1738.09653667848</v>
      </c>
      <c r="H30" s="348">
        <f>1338.88+5000</f>
        <v>6338.88</v>
      </c>
      <c r="I30" s="348">
        <f t="shared" si="3"/>
        <v>-61064.12</v>
      </c>
      <c r="J30" s="415">
        <f t="shared" si="4"/>
        <v>-90.5955521267599</v>
      </c>
    </row>
    <row r="31" ht="18" customHeight="1" spans="1:10">
      <c r="A31" s="417" t="s">
        <v>70</v>
      </c>
      <c r="B31" s="345">
        <f>B22+B7</f>
        <v>991580</v>
      </c>
      <c r="C31" s="345">
        <f>C22+C7</f>
        <v>969117</v>
      </c>
      <c r="D31" s="414">
        <f t="shared" si="0"/>
        <v>97.7346255471066</v>
      </c>
      <c r="E31" s="345">
        <f>E22+E7</f>
        <v>940393</v>
      </c>
      <c r="F31" s="345">
        <f t="shared" si="1"/>
        <v>28724</v>
      </c>
      <c r="G31" s="414">
        <f t="shared" si="2"/>
        <v>3.05446765341724</v>
      </c>
      <c r="H31" s="345">
        <f>H22+H7</f>
        <v>998200.36</v>
      </c>
      <c r="I31" s="345">
        <f t="shared" si="3"/>
        <v>29083.3600000001</v>
      </c>
      <c r="J31" s="414">
        <f t="shared" si="4"/>
        <v>3.00101638914601</v>
      </c>
    </row>
    <row r="32" ht="18" customHeight="1" spans="1:10">
      <c r="A32" s="418" t="s">
        <v>71</v>
      </c>
      <c r="B32" s="345">
        <f>B33+B100+B101+B102+B106+B99+B107</f>
        <v>3636492.394331</v>
      </c>
      <c r="C32" s="345">
        <f>C33+C100+C101+C102+C106+C99+C107</f>
        <v>4209403.3577</v>
      </c>
      <c r="D32" s="348"/>
      <c r="E32" s="348"/>
      <c r="F32" s="348"/>
      <c r="G32" s="348"/>
      <c r="H32" s="345">
        <f>H33+H100+H101+H102+H106+H99+H107</f>
        <v>3700479.37</v>
      </c>
      <c r="I32" s="348"/>
      <c r="J32" s="348"/>
    </row>
    <row r="33" ht="18" customHeight="1" spans="1:10">
      <c r="A33" s="419" t="s">
        <v>72</v>
      </c>
      <c r="B33" s="348">
        <f>B34+B41+B77</f>
        <v>2645655.394331</v>
      </c>
      <c r="C33" s="348">
        <f>C34+C41+C77</f>
        <v>3431462.3577</v>
      </c>
      <c r="D33" s="348"/>
      <c r="E33" s="348"/>
      <c r="F33" s="348"/>
      <c r="G33" s="348"/>
      <c r="H33" s="348">
        <f>H34+H41+H77</f>
        <v>3204842.37</v>
      </c>
      <c r="I33" s="348"/>
      <c r="J33" s="348"/>
    </row>
    <row r="34" ht="18" customHeight="1" spans="1:10">
      <c r="A34" s="419" t="s">
        <v>73</v>
      </c>
      <c r="B34" s="348">
        <f>SUM(B35:B40)</f>
        <v>103906</v>
      </c>
      <c r="C34" s="348">
        <f>SUM(C35:C40)</f>
        <v>103906</v>
      </c>
      <c r="D34" s="348"/>
      <c r="E34" s="348"/>
      <c r="F34" s="348"/>
      <c r="G34" s="348"/>
      <c r="H34" s="348">
        <f>SUM(H35:H40)</f>
        <v>103906</v>
      </c>
      <c r="I34" s="348"/>
      <c r="J34" s="348"/>
    </row>
    <row r="35" ht="18" customHeight="1" spans="1:10">
      <c r="A35" s="420" t="s">
        <v>74</v>
      </c>
      <c r="B35" s="348">
        <v>13860</v>
      </c>
      <c r="C35" s="348">
        <v>13860</v>
      </c>
      <c r="D35" s="348"/>
      <c r="E35" s="348"/>
      <c r="F35" s="348"/>
      <c r="G35" s="348"/>
      <c r="H35" s="348">
        <v>13860</v>
      </c>
      <c r="I35" s="348"/>
      <c r="J35" s="348"/>
    </row>
    <row r="36" ht="18" customHeight="1" spans="1:10">
      <c r="A36" s="420" t="s">
        <v>75</v>
      </c>
      <c r="B36" s="348">
        <v>15687</v>
      </c>
      <c r="C36" s="348">
        <v>15687</v>
      </c>
      <c r="D36" s="348"/>
      <c r="E36" s="348"/>
      <c r="F36" s="348"/>
      <c r="G36" s="348"/>
      <c r="H36" s="348">
        <v>15687</v>
      </c>
      <c r="I36" s="348"/>
      <c r="J36" s="348"/>
    </row>
    <row r="37" ht="18" customHeight="1" spans="1:10">
      <c r="A37" s="420" t="s">
        <v>76</v>
      </c>
      <c r="B37" s="348">
        <v>41697</v>
      </c>
      <c r="C37" s="348">
        <v>41697</v>
      </c>
      <c r="D37" s="348"/>
      <c r="E37" s="348"/>
      <c r="F37" s="348"/>
      <c r="G37" s="348"/>
      <c r="H37" s="348">
        <v>41697</v>
      </c>
      <c r="I37" s="348"/>
      <c r="J37" s="348"/>
    </row>
    <row r="38" ht="18" customHeight="1" spans="1:10">
      <c r="A38" s="420" t="s">
        <v>77</v>
      </c>
      <c r="B38" s="348">
        <v>4103</v>
      </c>
      <c r="C38" s="348">
        <v>4103</v>
      </c>
      <c r="D38" s="348"/>
      <c r="E38" s="348"/>
      <c r="F38" s="348"/>
      <c r="G38" s="348"/>
      <c r="H38" s="348">
        <v>4103</v>
      </c>
      <c r="I38" s="348"/>
      <c r="J38" s="348"/>
    </row>
    <row r="39" ht="18" customHeight="1" spans="1:10">
      <c r="A39" s="420" t="s">
        <v>78</v>
      </c>
      <c r="B39" s="348">
        <v>2523</v>
      </c>
      <c r="C39" s="348">
        <v>2523</v>
      </c>
      <c r="D39" s="348"/>
      <c r="E39" s="348"/>
      <c r="F39" s="348"/>
      <c r="G39" s="348"/>
      <c r="H39" s="348">
        <v>2523</v>
      </c>
      <c r="I39" s="348"/>
      <c r="J39" s="348"/>
    </row>
    <row r="40" ht="18" customHeight="1" spans="1:10">
      <c r="A40" s="420" t="s">
        <v>79</v>
      </c>
      <c r="B40" s="348">
        <v>26036</v>
      </c>
      <c r="C40" s="348">
        <v>26036</v>
      </c>
      <c r="D40" s="348"/>
      <c r="E40" s="348"/>
      <c r="F40" s="348"/>
      <c r="G40" s="348"/>
      <c r="H40" s="348">
        <v>26036</v>
      </c>
      <c r="I40" s="348"/>
      <c r="J40" s="348"/>
    </row>
    <row r="41" ht="18" customHeight="1" spans="1:10">
      <c r="A41" s="420" t="s">
        <v>80</v>
      </c>
      <c r="B41" s="348">
        <f>SUM(B42:B76)</f>
        <v>2327107.075631</v>
      </c>
      <c r="C41" s="348">
        <f>SUM(C42:C76)</f>
        <v>3007500.5</v>
      </c>
      <c r="D41" s="348"/>
      <c r="E41" s="348"/>
      <c r="F41" s="348"/>
      <c r="G41" s="348"/>
      <c r="H41" s="348">
        <f>SUM(H42:H76)</f>
        <v>2805282.43</v>
      </c>
      <c r="I41" s="348"/>
      <c r="J41" s="348"/>
    </row>
    <row r="42" ht="18" customHeight="1" spans="1:10">
      <c r="A42" s="421" t="s">
        <v>81</v>
      </c>
      <c r="B42" s="348">
        <v>15066.96</v>
      </c>
      <c r="C42" s="348">
        <v>21270</v>
      </c>
      <c r="D42" s="348"/>
      <c r="E42" s="348"/>
      <c r="F42" s="348"/>
      <c r="G42" s="348"/>
      <c r="H42" s="348">
        <v>19109</v>
      </c>
      <c r="I42" s="348"/>
      <c r="J42" s="348"/>
    </row>
    <row r="43" ht="18" customHeight="1" spans="1:10">
      <c r="A43" s="421" t="s">
        <v>82</v>
      </c>
      <c r="B43" s="348">
        <v>388338</v>
      </c>
      <c r="C43" s="348">
        <v>777041</v>
      </c>
      <c r="D43" s="348"/>
      <c r="E43" s="348"/>
      <c r="F43" s="348"/>
      <c r="G43" s="348"/>
      <c r="H43" s="348">
        <v>620003.2</v>
      </c>
      <c r="I43" s="348"/>
      <c r="J43" s="348"/>
    </row>
    <row r="44" ht="18" customHeight="1" spans="1:10">
      <c r="A44" s="421" t="s">
        <v>83</v>
      </c>
      <c r="B44" s="348">
        <v>180125</v>
      </c>
      <c r="C44" s="348">
        <v>277773</v>
      </c>
      <c r="D44" s="348"/>
      <c r="E44" s="348"/>
      <c r="F44" s="348"/>
      <c r="G44" s="348"/>
      <c r="H44" s="348">
        <v>274940.2</v>
      </c>
      <c r="I44" s="348"/>
      <c r="J44" s="348"/>
    </row>
    <row r="45" ht="18" customHeight="1" spans="1:10">
      <c r="A45" s="421" t="s">
        <v>84</v>
      </c>
      <c r="B45" s="348">
        <v>19216.575337</v>
      </c>
      <c r="C45" s="348">
        <v>42200</v>
      </c>
      <c r="D45" s="348"/>
      <c r="E45" s="348"/>
      <c r="F45" s="348"/>
      <c r="G45" s="348"/>
      <c r="H45" s="348">
        <v>41135.55</v>
      </c>
      <c r="I45" s="348"/>
      <c r="J45" s="348"/>
    </row>
    <row r="46" ht="18" customHeight="1" spans="1:10">
      <c r="A46" s="421" t="s">
        <v>85</v>
      </c>
      <c r="B46" s="348"/>
      <c r="C46" s="348">
        <v>0</v>
      </c>
      <c r="D46" s="348"/>
      <c r="E46" s="348"/>
      <c r="F46" s="348"/>
      <c r="G46" s="348"/>
      <c r="H46" s="348">
        <v>0</v>
      </c>
      <c r="I46" s="348"/>
      <c r="J46" s="348"/>
    </row>
    <row r="47" ht="18" customHeight="1" spans="1:10">
      <c r="A47" s="421" t="s">
        <v>86</v>
      </c>
      <c r="B47" s="348"/>
      <c r="C47" s="348">
        <v>0</v>
      </c>
      <c r="D47" s="348"/>
      <c r="E47" s="348"/>
      <c r="F47" s="348"/>
      <c r="G47" s="348"/>
      <c r="H47" s="348">
        <v>0</v>
      </c>
      <c r="I47" s="348"/>
      <c r="J47" s="348"/>
    </row>
    <row r="48" ht="18" customHeight="1" spans="1:10">
      <c r="A48" s="422" t="s">
        <v>87</v>
      </c>
      <c r="B48" s="348">
        <v>7232</v>
      </c>
      <c r="C48" s="348">
        <v>10709</v>
      </c>
      <c r="D48" s="348"/>
      <c r="E48" s="348"/>
      <c r="F48" s="348"/>
      <c r="G48" s="348"/>
      <c r="H48" s="348">
        <v>11036.05</v>
      </c>
      <c r="I48" s="348"/>
      <c r="J48" s="348"/>
    </row>
    <row r="49" ht="18" customHeight="1" spans="1:10">
      <c r="A49" s="422" t="s">
        <v>88</v>
      </c>
      <c r="B49" s="348">
        <v>5299</v>
      </c>
      <c r="C49" s="348">
        <v>5908</v>
      </c>
      <c r="D49" s="348"/>
      <c r="E49" s="348"/>
      <c r="F49" s="348"/>
      <c r="G49" s="348"/>
      <c r="H49" s="348">
        <v>5749.3</v>
      </c>
      <c r="I49" s="348"/>
      <c r="J49" s="348"/>
    </row>
    <row r="50" ht="18" customHeight="1" spans="1:10">
      <c r="A50" s="421" t="s">
        <v>89</v>
      </c>
      <c r="B50" s="348">
        <v>85678.27</v>
      </c>
      <c r="C50" s="348">
        <v>131556</v>
      </c>
      <c r="D50" s="348"/>
      <c r="E50" s="348"/>
      <c r="F50" s="348"/>
      <c r="G50" s="348"/>
      <c r="H50" s="348">
        <v>131969.1</v>
      </c>
      <c r="I50" s="348"/>
      <c r="J50" s="348"/>
    </row>
    <row r="51" ht="18" customHeight="1" spans="1:10">
      <c r="A51" s="421" t="s">
        <v>90</v>
      </c>
      <c r="B51" s="348">
        <v>6669</v>
      </c>
      <c r="C51" s="348">
        <v>10627</v>
      </c>
      <c r="D51" s="348"/>
      <c r="E51" s="348"/>
      <c r="F51" s="348"/>
      <c r="G51" s="348"/>
      <c r="H51" s="348">
        <v>10068.85</v>
      </c>
      <c r="I51" s="348"/>
      <c r="J51" s="348"/>
    </row>
    <row r="52" ht="18" customHeight="1" spans="1:10">
      <c r="A52" s="421" t="s">
        <v>91</v>
      </c>
      <c r="B52" s="348"/>
      <c r="C52" s="348">
        <v>0</v>
      </c>
      <c r="D52" s="348"/>
      <c r="E52" s="348"/>
      <c r="F52" s="348"/>
      <c r="G52" s="348"/>
      <c r="H52" s="348">
        <v>0</v>
      </c>
      <c r="I52" s="348"/>
      <c r="J52" s="348"/>
    </row>
    <row r="53" ht="18" customHeight="1" spans="1:10">
      <c r="A53" s="421" t="s">
        <v>92</v>
      </c>
      <c r="B53" s="348"/>
      <c r="C53" s="348">
        <v>0</v>
      </c>
      <c r="D53" s="348"/>
      <c r="E53" s="348"/>
      <c r="F53" s="348"/>
      <c r="G53" s="348"/>
      <c r="H53" s="348">
        <v>0</v>
      </c>
      <c r="I53" s="348"/>
      <c r="J53" s="348"/>
    </row>
    <row r="54" ht="18" customHeight="1" spans="1:10">
      <c r="A54" s="421" t="s">
        <v>93</v>
      </c>
      <c r="B54" s="348">
        <v>69546</v>
      </c>
      <c r="C54" s="348">
        <v>118560</v>
      </c>
      <c r="D54" s="348"/>
      <c r="E54" s="348"/>
      <c r="F54" s="348"/>
      <c r="G54" s="348"/>
      <c r="H54" s="348">
        <v>99286.8</v>
      </c>
      <c r="I54" s="348"/>
      <c r="J54" s="348"/>
    </row>
    <row r="55" ht="18" customHeight="1" spans="1:10">
      <c r="A55" s="421" t="s">
        <v>94</v>
      </c>
      <c r="B55" s="379">
        <v>2232</v>
      </c>
      <c r="C55" s="379">
        <v>0</v>
      </c>
      <c r="D55" s="348"/>
      <c r="E55" s="348"/>
      <c r="F55" s="348"/>
      <c r="G55" s="348"/>
      <c r="H55" s="348">
        <v>0</v>
      </c>
      <c r="I55" s="348"/>
      <c r="J55" s="348"/>
    </row>
    <row r="56" ht="18" customHeight="1" spans="1:10">
      <c r="A56" s="421" t="s">
        <v>95</v>
      </c>
      <c r="B56" s="379"/>
      <c r="C56" s="379">
        <v>0</v>
      </c>
      <c r="D56" s="348"/>
      <c r="E56" s="348"/>
      <c r="F56" s="348"/>
      <c r="G56" s="348"/>
      <c r="H56" s="348">
        <v>0</v>
      </c>
      <c r="I56" s="348"/>
      <c r="J56" s="348"/>
    </row>
    <row r="57" ht="18" customHeight="1" spans="1:10">
      <c r="A57" s="420" t="s">
        <v>96</v>
      </c>
      <c r="B57" s="379"/>
      <c r="C57" s="379">
        <v>0</v>
      </c>
      <c r="D57" s="348"/>
      <c r="E57" s="348"/>
      <c r="F57" s="348"/>
      <c r="G57" s="348"/>
      <c r="H57" s="348">
        <v>0</v>
      </c>
      <c r="I57" s="348"/>
      <c r="J57" s="348"/>
    </row>
    <row r="58" ht="18" customHeight="1" spans="1:10">
      <c r="A58" s="420" t="s">
        <v>97</v>
      </c>
      <c r="B58" s="379">
        <v>24829.83242</v>
      </c>
      <c r="C58" s="379">
        <v>24838</v>
      </c>
      <c r="D58" s="348"/>
      <c r="E58" s="348"/>
      <c r="F58" s="348"/>
      <c r="G58" s="348"/>
      <c r="H58" s="348">
        <v>24513.25</v>
      </c>
      <c r="I58" s="348"/>
      <c r="J58" s="348"/>
    </row>
    <row r="59" ht="18" customHeight="1" spans="1:10">
      <c r="A59" s="420" t="s">
        <v>98</v>
      </c>
      <c r="B59" s="379">
        <v>198732.31</v>
      </c>
      <c r="C59" s="379">
        <v>386713</v>
      </c>
      <c r="D59" s="348"/>
      <c r="E59" s="348"/>
      <c r="F59" s="348"/>
      <c r="G59" s="348"/>
      <c r="H59" s="348">
        <v>338630.36</v>
      </c>
      <c r="I59" s="348"/>
      <c r="J59" s="348"/>
    </row>
    <row r="60" ht="18" customHeight="1" spans="1:10">
      <c r="A60" s="420" t="s">
        <v>99</v>
      </c>
      <c r="B60" s="379"/>
      <c r="C60" s="379">
        <v>688</v>
      </c>
      <c r="D60" s="348"/>
      <c r="E60" s="348"/>
      <c r="F60" s="348"/>
      <c r="G60" s="348"/>
      <c r="H60" s="348">
        <v>656</v>
      </c>
      <c r="I60" s="348"/>
      <c r="J60" s="348"/>
    </row>
    <row r="61" ht="18" customHeight="1" spans="1:10">
      <c r="A61" s="420" t="s">
        <v>100</v>
      </c>
      <c r="B61" s="379">
        <v>1121.32</v>
      </c>
      <c r="C61" s="379">
        <v>6092.5</v>
      </c>
      <c r="D61" s="348"/>
      <c r="E61" s="348"/>
      <c r="F61" s="348"/>
      <c r="G61" s="348"/>
      <c r="H61" s="348">
        <v>2206.32</v>
      </c>
      <c r="I61" s="348"/>
      <c r="J61" s="348"/>
    </row>
    <row r="62" ht="18" customHeight="1" spans="1:10">
      <c r="A62" s="420" t="s">
        <v>101</v>
      </c>
      <c r="B62" s="379">
        <v>250066.705</v>
      </c>
      <c r="C62" s="379">
        <v>456356</v>
      </c>
      <c r="D62" s="348"/>
      <c r="E62" s="348"/>
      <c r="F62" s="348"/>
      <c r="G62" s="348"/>
      <c r="H62" s="348">
        <f>400620.25+70000-1862-4028</f>
        <v>464730.25</v>
      </c>
      <c r="I62" s="348"/>
      <c r="J62" s="348"/>
    </row>
    <row r="63" ht="18" customHeight="1" spans="1:10">
      <c r="A63" s="420" t="s">
        <v>102</v>
      </c>
      <c r="B63" s="379">
        <v>431650.06</v>
      </c>
      <c r="C63" s="379">
        <f>530355-15789</f>
        <v>514566</v>
      </c>
      <c r="D63" s="348"/>
      <c r="E63" s="348"/>
      <c r="F63" s="348"/>
      <c r="G63" s="348"/>
      <c r="H63" s="348">
        <f>483685.6+60000</f>
        <v>543685.6</v>
      </c>
      <c r="I63" s="348"/>
      <c r="J63" s="348"/>
    </row>
    <row r="64" ht="18" customHeight="1" spans="1:10">
      <c r="A64" s="420" t="s">
        <v>103</v>
      </c>
      <c r="B64" s="379">
        <v>3301.82</v>
      </c>
      <c r="C64" s="379">
        <v>5462</v>
      </c>
      <c r="D64" s="348"/>
      <c r="E64" s="348"/>
      <c r="F64" s="348"/>
      <c r="G64" s="348"/>
      <c r="H64" s="348">
        <v>2893.05</v>
      </c>
      <c r="I64" s="348"/>
      <c r="J64" s="348"/>
    </row>
    <row r="65" ht="18" customHeight="1" spans="1:10">
      <c r="A65" s="420" t="s">
        <v>104</v>
      </c>
      <c r="B65" s="379"/>
      <c r="C65" s="379">
        <v>0</v>
      </c>
      <c r="D65" s="348"/>
      <c r="E65" s="348"/>
      <c r="F65" s="348"/>
      <c r="G65" s="348"/>
      <c r="H65" s="348">
        <v>0</v>
      </c>
      <c r="I65" s="348"/>
      <c r="J65" s="348"/>
    </row>
    <row r="66" ht="18" customHeight="1" spans="1:10">
      <c r="A66" s="420" t="s">
        <v>105</v>
      </c>
      <c r="B66" s="379">
        <v>70629.89</v>
      </c>
      <c r="C66" s="379">
        <v>144113</v>
      </c>
      <c r="D66" s="348"/>
      <c r="E66" s="348"/>
      <c r="F66" s="348"/>
      <c r="G66" s="348"/>
      <c r="H66" s="348">
        <f>108468.95+40000-5000</f>
        <v>143468.95</v>
      </c>
      <c r="I66" s="348"/>
      <c r="J66" s="348"/>
    </row>
    <row r="67" ht="18" customHeight="1" spans="1:10">
      <c r="A67" s="420" t="s">
        <v>106</v>
      </c>
      <c r="B67" s="379">
        <v>5945.88</v>
      </c>
      <c r="C67" s="379">
        <v>15592</v>
      </c>
      <c r="D67" s="348"/>
      <c r="E67" s="348"/>
      <c r="F67" s="348"/>
      <c r="G67" s="348"/>
      <c r="H67" s="348">
        <v>8756.65</v>
      </c>
      <c r="I67" s="348"/>
      <c r="J67" s="348"/>
    </row>
    <row r="68" spans="1:10">
      <c r="A68" s="420" t="s">
        <v>107</v>
      </c>
      <c r="B68" s="379"/>
      <c r="C68" s="379">
        <v>0</v>
      </c>
      <c r="D68" s="348"/>
      <c r="E68" s="348"/>
      <c r="F68" s="348"/>
      <c r="G68" s="348"/>
      <c r="H68" s="348">
        <v>0</v>
      </c>
      <c r="I68" s="348"/>
      <c r="J68" s="348"/>
    </row>
    <row r="69" ht="18" customHeight="1" spans="1:10">
      <c r="A69" s="420" t="s">
        <v>108</v>
      </c>
      <c r="B69" s="379"/>
      <c r="C69" s="379">
        <v>0</v>
      </c>
      <c r="D69" s="348"/>
      <c r="E69" s="348"/>
      <c r="F69" s="348"/>
      <c r="G69" s="348"/>
      <c r="H69" s="348">
        <v>0</v>
      </c>
      <c r="I69" s="348"/>
      <c r="J69" s="348"/>
    </row>
    <row r="70" ht="18" customHeight="1" spans="1:10">
      <c r="A70" s="420" t="s">
        <v>109</v>
      </c>
      <c r="B70" s="379"/>
      <c r="C70" s="379">
        <v>0</v>
      </c>
      <c r="D70" s="348"/>
      <c r="E70" s="348"/>
      <c r="F70" s="348"/>
      <c r="G70" s="348"/>
      <c r="H70" s="348">
        <v>0</v>
      </c>
      <c r="I70" s="348"/>
      <c r="J70" s="348"/>
    </row>
    <row r="71" spans="1:10">
      <c r="A71" s="420" t="s">
        <v>110</v>
      </c>
      <c r="B71" s="379"/>
      <c r="C71" s="379">
        <v>0</v>
      </c>
      <c r="D71" s="348"/>
      <c r="E71" s="348"/>
      <c r="F71" s="348"/>
      <c r="G71" s="348"/>
      <c r="H71" s="348">
        <v>0</v>
      </c>
      <c r="I71" s="348"/>
      <c r="J71" s="348"/>
    </row>
    <row r="72" ht="18" customHeight="1" spans="1:10">
      <c r="A72" s="420" t="s">
        <v>111</v>
      </c>
      <c r="B72" s="379">
        <v>7947.34</v>
      </c>
      <c r="C72" s="379">
        <v>43221</v>
      </c>
      <c r="D72" s="348"/>
      <c r="E72" s="348"/>
      <c r="F72" s="348"/>
      <c r="G72" s="348"/>
      <c r="H72" s="348">
        <f>23559.55+30000</f>
        <v>53559.55</v>
      </c>
      <c r="I72" s="348"/>
      <c r="J72" s="348"/>
    </row>
    <row r="73" ht="18" customHeight="1" spans="1:10">
      <c r="A73" s="420" t="s">
        <v>112</v>
      </c>
      <c r="B73" s="348"/>
      <c r="C73" s="348">
        <v>0</v>
      </c>
      <c r="D73" s="348"/>
      <c r="E73" s="348"/>
      <c r="F73" s="348"/>
      <c r="G73" s="348"/>
      <c r="H73" s="348">
        <v>0</v>
      </c>
      <c r="I73" s="348"/>
      <c r="J73" s="348"/>
    </row>
    <row r="74" spans="1:10">
      <c r="A74" s="420" t="s">
        <v>113</v>
      </c>
      <c r="B74" s="348">
        <v>815</v>
      </c>
      <c r="C74" s="348">
        <v>2289</v>
      </c>
      <c r="D74" s="348"/>
      <c r="E74" s="348"/>
      <c r="F74" s="348"/>
      <c r="G74" s="348"/>
      <c r="H74" s="348">
        <v>491</v>
      </c>
      <c r="I74" s="348"/>
      <c r="J74" s="348"/>
    </row>
    <row r="75" ht="18" customHeight="1" spans="1:10">
      <c r="A75" s="421" t="s">
        <v>114</v>
      </c>
      <c r="B75" s="348"/>
      <c r="C75" s="348">
        <v>0</v>
      </c>
      <c r="D75" s="348"/>
      <c r="E75" s="348"/>
      <c r="F75" s="348"/>
      <c r="G75" s="348"/>
      <c r="H75" s="348">
        <v>0</v>
      </c>
      <c r="I75" s="348"/>
      <c r="J75" s="348"/>
    </row>
    <row r="76" ht="18" customHeight="1" spans="1:10">
      <c r="A76" s="421" t="s">
        <v>115</v>
      </c>
      <c r="B76" s="348">
        <v>552664.112874</v>
      </c>
      <c r="C76" s="348">
        <v>11926</v>
      </c>
      <c r="D76" s="348"/>
      <c r="E76" s="348"/>
      <c r="F76" s="348"/>
      <c r="G76" s="348"/>
      <c r="H76" s="348">
        <v>8393.4</v>
      </c>
      <c r="I76" s="348"/>
      <c r="J76" s="348"/>
    </row>
    <row r="77" ht="18" customHeight="1" spans="1:10">
      <c r="A77" s="420" t="s">
        <v>116</v>
      </c>
      <c r="B77" s="348">
        <f>SUM(B78:B98)</f>
        <v>214642.3187</v>
      </c>
      <c r="C77" s="348">
        <f>SUM(C78:C98)</f>
        <v>320055.8577</v>
      </c>
      <c r="D77" s="348"/>
      <c r="E77" s="348"/>
      <c r="F77" s="348"/>
      <c r="G77" s="348"/>
      <c r="H77" s="348">
        <f>SUM(H78:H98)</f>
        <v>295653.94</v>
      </c>
      <c r="I77" s="348"/>
      <c r="J77" s="348"/>
    </row>
    <row r="78" ht="18" customHeight="1" spans="1:10">
      <c r="A78" s="420" t="s">
        <v>117</v>
      </c>
      <c r="B78" s="348">
        <v>4639.28</v>
      </c>
      <c r="C78" s="348">
        <v>55762</v>
      </c>
      <c r="D78" s="348"/>
      <c r="E78" s="348"/>
      <c r="F78" s="348"/>
      <c r="G78" s="348"/>
      <c r="H78" s="348">
        <f>28572.85+30000</f>
        <v>58572.85</v>
      </c>
      <c r="I78" s="348"/>
      <c r="J78" s="348"/>
    </row>
    <row r="79" ht="18" customHeight="1" spans="1:10">
      <c r="A79" s="420" t="s">
        <v>118</v>
      </c>
      <c r="B79" s="348"/>
      <c r="C79" s="348">
        <v>0</v>
      </c>
      <c r="D79" s="348"/>
      <c r="E79" s="348"/>
      <c r="F79" s="348"/>
      <c r="G79" s="348"/>
      <c r="H79" s="348">
        <v>0</v>
      </c>
      <c r="I79" s="348"/>
      <c r="J79" s="348"/>
    </row>
    <row r="80" ht="18" customHeight="1" spans="1:10">
      <c r="A80" s="420" t="s">
        <v>119</v>
      </c>
      <c r="B80" s="348">
        <v>266</v>
      </c>
      <c r="C80" s="348">
        <v>586</v>
      </c>
      <c r="D80" s="348"/>
      <c r="E80" s="348"/>
      <c r="F80" s="348"/>
      <c r="G80" s="348"/>
      <c r="H80" s="348">
        <v>586</v>
      </c>
      <c r="I80" s="348"/>
      <c r="J80" s="348"/>
    </row>
    <row r="81" ht="18" customHeight="1" spans="1:10">
      <c r="A81" s="420" t="s">
        <v>120</v>
      </c>
      <c r="B81" s="348"/>
      <c r="C81" s="348">
        <v>180</v>
      </c>
      <c r="D81" s="348"/>
      <c r="E81" s="348"/>
      <c r="F81" s="348"/>
      <c r="G81" s="348"/>
      <c r="H81" s="348">
        <v>80</v>
      </c>
      <c r="I81" s="348"/>
      <c r="J81" s="348"/>
    </row>
    <row r="82" ht="18" customHeight="1" spans="1:10">
      <c r="A82" s="420" t="s">
        <v>121</v>
      </c>
      <c r="B82" s="348">
        <v>6120</v>
      </c>
      <c r="C82" s="348">
        <v>5781</v>
      </c>
      <c r="D82" s="348"/>
      <c r="E82" s="348"/>
      <c r="F82" s="348"/>
      <c r="G82" s="348"/>
      <c r="H82" s="348">
        <f>3012+2000</f>
        <v>5012</v>
      </c>
      <c r="I82" s="348"/>
      <c r="J82" s="348"/>
    </row>
    <row r="83" ht="18" customHeight="1" spans="1:10">
      <c r="A83" s="420" t="s">
        <v>122</v>
      </c>
      <c r="B83" s="348"/>
      <c r="C83" s="348">
        <v>18</v>
      </c>
      <c r="D83" s="348"/>
      <c r="E83" s="348"/>
      <c r="F83" s="348"/>
      <c r="G83" s="348"/>
      <c r="H83" s="348">
        <v>0</v>
      </c>
      <c r="I83" s="348"/>
      <c r="J83" s="348"/>
    </row>
    <row r="84" ht="18" customHeight="1" spans="1:10">
      <c r="A84" s="420" t="s">
        <v>123</v>
      </c>
      <c r="B84" s="348"/>
      <c r="C84" s="348">
        <v>290</v>
      </c>
      <c r="D84" s="348"/>
      <c r="E84" s="348"/>
      <c r="F84" s="348"/>
      <c r="G84" s="348"/>
      <c r="H84" s="348">
        <v>77</v>
      </c>
      <c r="I84" s="348"/>
      <c r="J84" s="348"/>
    </row>
    <row r="85" ht="18" customHeight="1" spans="1:10">
      <c r="A85" s="420" t="s">
        <v>124</v>
      </c>
      <c r="B85" s="348">
        <v>3173.9287</v>
      </c>
      <c r="C85" s="348">
        <v>6457.5184</v>
      </c>
      <c r="D85" s="348"/>
      <c r="E85" s="348"/>
      <c r="F85" s="348"/>
      <c r="G85" s="348"/>
      <c r="H85" s="348">
        <v>6389.1</v>
      </c>
      <c r="I85" s="348"/>
      <c r="J85" s="348"/>
    </row>
    <row r="86" ht="18" customHeight="1" spans="1:10">
      <c r="A86" s="420" t="s">
        <v>125</v>
      </c>
      <c r="B86" s="348">
        <v>3956.67</v>
      </c>
      <c r="C86" s="348">
        <v>17255</v>
      </c>
      <c r="D86" s="348"/>
      <c r="E86" s="348"/>
      <c r="F86" s="348"/>
      <c r="G86" s="348"/>
      <c r="H86" s="348">
        <v>15903.55</v>
      </c>
      <c r="I86" s="348"/>
      <c r="J86" s="348"/>
    </row>
    <row r="87" ht="18" customHeight="1" spans="1:10">
      <c r="A87" s="420" t="s">
        <v>126</v>
      </c>
      <c r="B87" s="348">
        <v>12053</v>
      </c>
      <c r="C87" s="348">
        <v>27059</v>
      </c>
      <c r="D87" s="348"/>
      <c r="E87" s="348"/>
      <c r="F87" s="348"/>
      <c r="G87" s="348"/>
      <c r="H87" s="348">
        <v>20253</v>
      </c>
      <c r="I87" s="348"/>
      <c r="J87" s="348"/>
    </row>
    <row r="88" ht="18" customHeight="1" spans="1:10">
      <c r="A88" s="420" t="s">
        <v>127</v>
      </c>
      <c r="B88" s="348">
        <v>63019</v>
      </c>
      <c r="C88" s="348">
        <v>20338</v>
      </c>
      <c r="D88" s="348"/>
      <c r="E88" s="348"/>
      <c r="F88" s="348"/>
      <c r="G88" s="348"/>
      <c r="H88" s="348">
        <v>6847.5</v>
      </c>
      <c r="I88" s="348"/>
      <c r="J88" s="348"/>
    </row>
    <row r="89" ht="18" customHeight="1" spans="1:10">
      <c r="A89" s="420" t="s">
        <v>128</v>
      </c>
      <c r="B89" s="348">
        <v>43918.2</v>
      </c>
      <c r="C89" s="348">
        <v>102199</v>
      </c>
      <c r="D89" s="348"/>
      <c r="E89" s="348"/>
      <c r="F89" s="348"/>
      <c r="G89" s="348"/>
      <c r="H89" s="348">
        <f>87192.45+20000-2709</f>
        <v>104483.45</v>
      </c>
      <c r="I89" s="348"/>
      <c r="J89" s="348"/>
    </row>
    <row r="90" ht="18" customHeight="1" spans="1:10">
      <c r="A90" s="420" t="s">
        <v>129</v>
      </c>
      <c r="B90" s="348">
        <v>2418</v>
      </c>
      <c r="C90" s="348">
        <v>13277</v>
      </c>
      <c r="D90" s="348"/>
      <c r="E90" s="348"/>
      <c r="F90" s="348"/>
      <c r="G90" s="348"/>
      <c r="H90" s="348">
        <v>7373</v>
      </c>
      <c r="I90" s="348"/>
      <c r="J90" s="348"/>
    </row>
    <row r="91" ht="18" customHeight="1" spans="1:10">
      <c r="A91" s="420" t="s">
        <v>130</v>
      </c>
      <c r="B91" s="348">
        <v>12932</v>
      </c>
      <c r="C91" s="348">
        <v>36665</v>
      </c>
      <c r="D91" s="348"/>
      <c r="E91" s="348"/>
      <c r="F91" s="348"/>
      <c r="G91" s="348"/>
      <c r="H91" s="348">
        <f>23781+15000</f>
        <v>38781</v>
      </c>
      <c r="I91" s="348"/>
      <c r="J91" s="348"/>
    </row>
    <row r="92" ht="18" customHeight="1" spans="1:10">
      <c r="A92" s="420" t="s">
        <v>131</v>
      </c>
      <c r="B92" s="348">
        <v>5655</v>
      </c>
      <c r="C92" s="348">
        <v>3766</v>
      </c>
      <c r="D92" s="348"/>
      <c r="E92" s="348"/>
      <c r="F92" s="348"/>
      <c r="G92" s="348"/>
      <c r="H92" s="348">
        <v>2921</v>
      </c>
      <c r="I92" s="348"/>
      <c r="J92" s="348"/>
    </row>
    <row r="93" ht="18" customHeight="1" spans="1:10">
      <c r="A93" s="420" t="s">
        <v>132</v>
      </c>
      <c r="B93" s="348"/>
      <c r="C93" s="348">
        <v>7857</v>
      </c>
      <c r="D93" s="348"/>
      <c r="E93" s="348"/>
      <c r="F93" s="348"/>
      <c r="G93" s="348"/>
      <c r="H93" s="348">
        <v>8376.05</v>
      </c>
      <c r="I93" s="348"/>
      <c r="J93" s="348"/>
    </row>
    <row r="94" ht="18" customHeight="1" spans="1:10">
      <c r="A94" s="420" t="s">
        <v>133</v>
      </c>
      <c r="B94" s="348">
        <v>9713.49</v>
      </c>
      <c r="C94" s="348">
        <v>15442.3393</v>
      </c>
      <c r="D94" s="348"/>
      <c r="E94" s="348"/>
      <c r="F94" s="348"/>
      <c r="G94" s="348"/>
      <c r="H94" s="348">
        <v>15281.09</v>
      </c>
      <c r="I94" s="348"/>
      <c r="J94" s="348"/>
    </row>
    <row r="95" ht="18" customHeight="1" spans="1:10">
      <c r="A95" s="420" t="s">
        <v>134</v>
      </c>
      <c r="B95" s="348">
        <v>1936</v>
      </c>
      <c r="C95" s="348">
        <v>5530</v>
      </c>
      <c r="D95" s="348"/>
      <c r="E95" s="348"/>
      <c r="F95" s="348"/>
      <c r="G95" s="348"/>
      <c r="H95" s="348">
        <v>3025</v>
      </c>
      <c r="I95" s="348"/>
      <c r="J95" s="348"/>
    </row>
    <row r="96" ht="18" customHeight="1" spans="1:10">
      <c r="A96" s="420" t="s">
        <v>135</v>
      </c>
      <c r="B96" s="348">
        <v>358.6</v>
      </c>
      <c r="C96" s="348">
        <v>360</v>
      </c>
      <c r="D96" s="348"/>
      <c r="E96" s="348"/>
      <c r="F96" s="348"/>
      <c r="G96" s="348"/>
      <c r="H96" s="348">
        <v>409.65</v>
      </c>
      <c r="I96" s="348"/>
      <c r="J96" s="348"/>
    </row>
    <row r="97" ht="18" customHeight="1" spans="1:10">
      <c r="A97" s="420" t="s">
        <v>136</v>
      </c>
      <c r="B97" s="348">
        <v>701.3</v>
      </c>
      <c r="C97" s="348">
        <v>994</v>
      </c>
      <c r="D97" s="348"/>
      <c r="E97" s="348"/>
      <c r="F97" s="348"/>
      <c r="G97" s="348"/>
      <c r="H97" s="348">
        <v>1032.7</v>
      </c>
      <c r="I97" s="348"/>
      <c r="J97" s="348"/>
    </row>
    <row r="98" ht="18" customHeight="1" spans="1:10">
      <c r="A98" s="420" t="s">
        <v>69</v>
      </c>
      <c r="B98" s="348">
        <v>43781.85</v>
      </c>
      <c r="C98" s="348">
        <v>239</v>
      </c>
      <c r="D98" s="348"/>
      <c r="E98" s="348"/>
      <c r="F98" s="348"/>
      <c r="G98" s="348"/>
      <c r="H98" s="348">
        <v>250</v>
      </c>
      <c r="I98" s="348"/>
      <c r="J98" s="348"/>
    </row>
    <row r="99" ht="18" customHeight="1" spans="1:10">
      <c r="A99" s="420" t="s">
        <v>137</v>
      </c>
      <c r="B99" s="348"/>
      <c r="C99" s="348"/>
      <c r="D99" s="348"/>
      <c r="E99" s="348"/>
      <c r="F99" s="348"/>
      <c r="G99" s="348"/>
      <c r="H99" s="348"/>
      <c r="I99" s="348"/>
      <c r="J99" s="348"/>
    </row>
    <row r="100" ht="18" customHeight="1" spans="1:10">
      <c r="A100" s="416" t="s">
        <v>138</v>
      </c>
      <c r="B100" s="348">
        <v>296182</v>
      </c>
      <c r="C100" s="348">
        <v>275150</v>
      </c>
      <c r="D100" s="348"/>
      <c r="E100" s="348"/>
      <c r="F100" s="348"/>
      <c r="G100" s="348"/>
      <c r="H100" s="348">
        <f>'一般公共预算支出表（全市）'!C1189</f>
        <v>201174</v>
      </c>
      <c r="I100" s="348"/>
      <c r="J100" s="348"/>
    </row>
    <row r="101" ht="18" customHeight="1" spans="1:10">
      <c r="A101" s="416" t="s">
        <v>139</v>
      </c>
      <c r="B101" s="348">
        <v>55165</v>
      </c>
      <c r="C101" s="348">
        <v>88987</v>
      </c>
      <c r="D101" s="348"/>
      <c r="E101" s="348"/>
      <c r="F101" s="348"/>
      <c r="G101" s="348"/>
      <c r="H101" s="348">
        <v>86000</v>
      </c>
      <c r="I101" s="348"/>
      <c r="J101" s="348"/>
    </row>
    <row r="102" ht="18" customHeight="1" spans="1:10">
      <c r="A102" s="416" t="s">
        <v>140</v>
      </c>
      <c r="B102" s="348">
        <f>SUM(B103:B105)</f>
        <v>424590</v>
      </c>
      <c r="C102" s="348">
        <f>SUM(C103:C105)</f>
        <v>78204</v>
      </c>
      <c r="D102" s="348"/>
      <c r="E102" s="348"/>
      <c r="F102" s="348"/>
      <c r="G102" s="348"/>
      <c r="H102" s="348">
        <f>H103+H104+H105</f>
        <v>77863</v>
      </c>
      <c r="I102" s="348"/>
      <c r="J102" s="348"/>
    </row>
    <row r="103" ht="18" customHeight="1" spans="1:10">
      <c r="A103" s="416" t="s">
        <v>141</v>
      </c>
      <c r="B103" s="348">
        <v>414904</v>
      </c>
      <c r="C103" s="348">
        <v>72320</v>
      </c>
      <c r="D103" s="348"/>
      <c r="E103" s="348"/>
      <c r="F103" s="348"/>
      <c r="G103" s="348"/>
      <c r="H103" s="348">
        <v>72108</v>
      </c>
      <c r="I103" s="348"/>
      <c r="J103" s="348"/>
    </row>
    <row r="104" ht="18" customHeight="1" spans="1:10">
      <c r="A104" s="416" t="s">
        <v>142</v>
      </c>
      <c r="B104" s="348">
        <v>9686</v>
      </c>
      <c r="C104" s="348">
        <v>5884</v>
      </c>
      <c r="D104" s="348"/>
      <c r="E104" s="348"/>
      <c r="F104" s="348"/>
      <c r="G104" s="348"/>
      <c r="H104" s="348">
        <v>5755</v>
      </c>
      <c r="I104" s="348"/>
      <c r="J104" s="348"/>
    </row>
    <row r="105" ht="18" customHeight="1" spans="1:10">
      <c r="A105" s="416" t="s">
        <v>143</v>
      </c>
      <c r="B105" s="348"/>
      <c r="C105" s="348">
        <v>0</v>
      </c>
      <c r="D105" s="348"/>
      <c r="E105" s="348"/>
      <c r="F105" s="348"/>
      <c r="G105" s="348"/>
      <c r="H105" s="348">
        <v>0</v>
      </c>
      <c r="I105" s="348"/>
      <c r="J105" s="348"/>
    </row>
    <row r="106" ht="18" customHeight="1" spans="1:10">
      <c r="A106" s="416" t="s">
        <v>144</v>
      </c>
      <c r="B106" s="348">
        <v>214900</v>
      </c>
      <c r="C106" s="348">
        <v>335600</v>
      </c>
      <c r="D106" s="348"/>
      <c r="E106" s="348"/>
      <c r="F106" s="348"/>
      <c r="G106" s="348"/>
      <c r="H106" s="348">
        <v>130600</v>
      </c>
      <c r="I106" s="348"/>
      <c r="J106" s="348"/>
    </row>
    <row r="107" ht="18" customHeight="1" spans="1:10">
      <c r="A107" s="416" t="s">
        <v>145</v>
      </c>
      <c r="B107" s="348"/>
      <c r="C107" s="348"/>
      <c r="D107" s="348"/>
      <c r="E107" s="348"/>
      <c r="F107" s="348"/>
      <c r="G107" s="348"/>
      <c r="H107" s="348"/>
      <c r="I107" s="348"/>
      <c r="J107" s="348"/>
    </row>
    <row r="108" ht="18" customHeight="1" spans="1:10">
      <c r="A108" s="428" t="s">
        <v>146</v>
      </c>
      <c r="B108" s="345">
        <f>B31+B32</f>
        <v>4628072.394331</v>
      </c>
      <c r="C108" s="345">
        <f>C31+C32</f>
        <v>5178520.3577</v>
      </c>
      <c r="D108" s="348"/>
      <c r="E108" s="348"/>
      <c r="F108" s="348"/>
      <c r="G108" s="348"/>
      <c r="H108" s="345">
        <f>H31+H32</f>
        <v>4698679.73</v>
      </c>
      <c r="I108" s="348"/>
      <c r="J108" s="348"/>
    </row>
    <row r="112" spans="3:3">
      <c r="C112" s="383"/>
    </row>
    <row r="113" s="324" customFormat="1" spans="3:3">
      <c r="C113" s="383"/>
    </row>
  </sheetData>
  <mergeCells count="13">
    <mergeCell ref="A2:J2"/>
    <mergeCell ref="C3:F3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707638888888889" right="0.707638888888889" top="0.747916666666667" bottom="0.668055555555556" header="0.313888888888889" footer="0.432638888888889"/>
  <pageSetup paperSize="9" scale="7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4"/>
  <sheetViews>
    <sheetView showZeros="0" view="pageBreakPreview" zoomScale="120" zoomScaleNormal="100" zoomScaleSheetLayoutView="120" topLeftCell="B1" workbookViewId="0">
      <pane xSplit="1" ySplit="6" topLeftCell="C44" activePane="bottomRight" state="frozen"/>
      <selection/>
      <selection pane="topRight"/>
      <selection pane="bottomLeft"/>
      <selection pane="bottomRight" activeCell="H44" sqref="H44:H46"/>
    </sheetView>
  </sheetViews>
  <sheetFormatPr defaultColWidth="9" defaultRowHeight="14.25"/>
  <cols>
    <col min="1" max="1" width="15.75" style="164" hidden="1" customWidth="1"/>
    <col min="2" max="2" width="42.5833333333333" style="164" customWidth="1"/>
    <col min="3" max="3" width="11.8333333333333" style="165" customWidth="1"/>
    <col min="4" max="4" width="12.5" style="166" customWidth="1"/>
    <col min="5" max="5" width="12.5" style="167" customWidth="1"/>
    <col min="6" max="6" width="13.8333333333333" style="165" hidden="1" customWidth="1"/>
    <col min="7" max="7" width="10.8333333333333" style="165" customWidth="1"/>
    <col min="8" max="8" width="11.8333333333333" style="165" customWidth="1"/>
    <col min="9" max="9" width="11.0833333333333" style="165" customWidth="1"/>
    <col min="10" max="10" width="11.3333333333333" style="165" customWidth="1"/>
    <col min="11" max="11" width="12.5" style="167" customWidth="1"/>
    <col min="12" max="12" width="9" style="164"/>
    <col min="13" max="13" width="22.5833333333333" style="164" customWidth="1"/>
    <col min="14" max="14" width="37.0833333333333" style="164" customWidth="1"/>
    <col min="15" max="256" width="9" style="164"/>
    <col min="257" max="257" width="9" style="164" hidden="1" customWidth="1"/>
    <col min="258" max="258" width="42.5833333333333" style="164" customWidth="1"/>
    <col min="259" max="259" width="11.8333333333333" style="164" customWidth="1"/>
    <col min="260" max="261" width="12.5" style="164" customWidth="1"/>
    <col min="262" max="262" width="13.8333333333333" style="164" customWidth="1"/>
    <col min="263" max="263" width="10.8333333333333" style="164" customWidth="1"/>
    <col min="264" max="264" width="11.8333333333333" style="164" customWidth="1"/>
    <col min="265" max="265" width="11.0833333333333" style="164" customWidth="1"/>
    <col min="266" max="266" width="11.3333333333333" style="164" customWidth="1"/>
    <col min="267" max="267" width="10" style="164" customWidth="1"/>
    <col min="268" max="268" width="9" style="164"/>
    <col min="269" max="269" width="22.5833333333333" style="164" customWidth="1"/>
    <col min="270" max="270" width="37.0833333333333" style="164" customWidth="1"/>
    <col min="271" max="512" width="9" style="164"/>
    <col min="513" max="513" width="9" style="164" hidden="1" customWidth="1"/>
    <col min="514" max="514" width="42.5833333333333" style="164" customWidth="1"/>
    <col min="515" max="515" width="11.8333333333333" style="164" customWidth="1"/>
    <col min="516" max="517" width="12.5" style="164" customWidth="1"/>
    <col min="518" max="518" width="13.8333333333333" style="164" customWidth="1"/>
    <col min="519" max="519" width="10.8333333333333" style="164" customWidth="1"/>
    <col min="520" max="520" width="11.8333333333333" style="164" customWidth="1"/>
    <col min="521" max="521" width="11.0833333333333" style="164" customWidth="1"/>
    <col min="522" max="522" width="11.3333333333333" style="164" customWidth="1"/>
    <col min="523" max="523" width="10" style="164" customWidth="1"/>
    <col min="524" max="524" width="9" style="164"/>
    <col min="525" max="525" width="22.5833333333333" style="164" customWidth="1"/>
    <col min="526" max="526" width="37.0833333333333" style="164" customWidth="1"/>
    <col min="527" max="768" width="9" style="164"/>
    <col min="769" max="769" width="9" style="164" hidden="1" customWidth="1"/>
    <col min="770" max="770" width="42.5833333333333" style="164" customWidth="1"/>
    <col min="771" max="771" width="11.8333333333333" style="164" customWidth="1"/>
    <col min="772" max="773" width="12.5" style="164" customWidth="1"/>
    <col min="774" max="774" width="13.8333333333333" style="164" customWidth="1"/>
    <col min="775" max="775" width="10.8333333333333" style="164" customWidth="1"/>
    <col min="776" max="776" width="11.8333333333333" style="164" customWidth="1"/>
    <col min="777" max="777" width="11.0833333333333" style="164" customWidth="1"/>
    <col min="778" max="778" width="11.3333333333333" style="164" customWidth="1"/>
    <col min="779" max="779" width="10" style="164" customWidth="1"/>
    <col min="780" max="780" width="9" style="164"/>
    <col min="781" max="781" width="22.5833333333333" style="164" customWidth="1"/>
    <col min="782" max="782" width="37.0833333333333" style="164" customWidth="1"/>
    <col min="783" max="1024" width="9" style="164"/>
    <col min="1025" max="1025" width="9" style="164" hidden="1" customWidth="1"/>
    <col min="1026" max="1026" width="42.5833333333333" style="164" customWidth="1"/>
    <col min="1027" max="1027" width="11.8333333333333" style="164" customWidth="1"/>
    <col min="1028" max="1029" width="12.5" style="164" customWidth="1"/>
    <col min="1030" max="1030" width="13.8333333333333" style="164" customWidth="1"/>
    <col min="1031" max="1031" width="10.8333333333333" style="164" customWidth="1"/>
    <col min="1032" max="1032" width="11.8333333333333" style="164" customWidth="1"/>
    <col min="1033" max="1033" width="11.0833333333333" style="164" customWidth="1"/>
    <col min="1034" max="1034" width="11.3333333333333" style="164" customWidth="1"/>
    <col min="1035" max="1035" width="10" style="164" customWidth="1"/>
    <col min="1036" max="1036" width="9" style="164"/>
    <col min="1037" max="1037" width="22.5833333333333" style="164" customWidth="1"/>
    <col min="1038" max="1038" width="37.0833333333333" style="164" customWidth="1"/>
    <col min="1039" max="1280" width="9" style="164"/>
    <col min="1281" max="1281" width="9" style="164" hidden="1" customWidth="1"/>
    <col min="1282" max="1282" width="42.5833333333333" style="164" customWidth="1"/>
    <col min="1283" max="1283" width="11.8333333333333" style="164" customWidth="1"/>
    <col min="1284" max="1285" width="12.5" style="164" customWidth="1"/>
    <col min="1286" max="1286" width="13.8333333333333" style="164" customWidth="1"/>
    <col min="1287" max="1287" width="10.8333333333333" style="164" customWidth="1"/>
    <col min="1288" max="1288" width="11.8333333333333" style="164" customWidth="1"/>
    <col min="1289" max="1289" width="11.0833333333333" style="164" customWidth="1"/>
    <col min="1290" max="1290" width="11.3333333333333" style="164" customWidth="1"/>
    <col min="1291" max="1291" width="10" style="164" customWidth="1"/>
    <col min="1292" max="1292" width="9" style="164"/>
    <col min="1293" max="1293" width="22.5833333333333" style="164" customWidth="1"/>
    <col min="1294" max="1294" width="37.0833333333333" style="164" customWidth="1"/>
    <col min="1295" max="1536" width="9" style="164"/>
    <col min="1537" max="1537" width="9" style="164" hidden="1" customWidth="1"/>
    <col min="1538" max="1538" width="42.5833333333333" style="164" customWidth="1"/>
    <col min="1539" max="1539" width="11.8333333333333" style="164" customWidth="1"/>
    <col min="1540" max="1541" width="12.5" style="164" customWidth="1"/>
    <col min="1542" max="1542" width="13.8333333333333" style="164" customWidth="1"/>
    <col min="1543" max="1543" width="10.8333333333333" style="164" customWidth="1"/>
    <col min="1544" max="1544" width="11.8333333333333" style="164" customWidth="1"/>
    <col min="1545" max="1545" width="11.0833333333333" style="164" customWidth="1"/>
    <col min="1546" max="1546" width="11.3333333333333" style="164" customWidth="1"/>
    <col min="1547" max="1547" width="10" style="164" customWidth="1"/>
    <col min="1548" max="1548" width="9" style="164"/>
    <col min="1549" max="1549" width="22.5833333333333" style="164" customWidth="1"/>
    <col min="1550" max="1550" width="37.0833333333333" style="164" customWidth="1"/>
    <col min="1551" max="1792" width="9" style="164"/>
    <col min="1793" max="1793" width="9" style="164" hidden="1" customWidth="1"/>
    <col min="1794" max="1794" width="42.5833333333333" style="164" customWidth="1"/>
    <col min="1795" max="1795" width="11.8333333333333" style="164" customWidth="1"/>
    <col min="1796" max="1797" width="12.5" style="164" customWidth="1"/>
    <col min="1798" max="1798" width="13.8333333333333" style="164" customWidth="1"/>
    <col min="1799" max="1799" width="10.8333333333333" style="164" customWidth="1"/>
    <col min="1800" max="1800" width="11.8333333333333" style="164" customWidth="1"/>
    <col min="1801" max="1801" width="11.0833333333333" style="164" customWidth="1"/>
    <col min="1802" max="1802" width="11.3333333333333" style="164" customWidth="1"/>
    <col min="1803" max="1803" width="10" style="164" customWidth="1"/>
    <col min="1804" max="1804" width="9" style="164"/>
    <col min="1805" max="1805" width="22.5833333333333" style="164" customWidth="1"/>
    <col min="1806" max="1806" width="37.0833333333333" style="164" customWidth="1"/>
    <col min="1807" max="2048" width="9" style="164"/>
    <col min="2049" max="2049" width="9" style="164" hidden="1" customWidth="1"/>
    <col min="2050" max="2050" width="42.5833333333333" style="164" customWidth="1"/>
    <col min="2051" max="2051" width="11.8333333333333" style="164" customWidth="1"/>
    <col min="2052" max="2053" width="12.5" style="164" customWidth="1"/>
    <col min="2054" max="2054" width="13.8333333333333" style="164" customWidth="1"/>
    <col min="2055" max="2055" width="10.8333333333333" style="164" customWidth="1"/>
    <col min="2056" max="2056" width="11.8333333333333" style="164" customWidth="1"/>
    <col min="2057" max="2057" width="11.0833333333333" style="164" customWidth="1"/>
    <col min="2058" max="2058" width="11.3333333333333" style="164" customWidth="1"/>
    <col min="2059" max="2059" width="10" style="164" customWidth="1"/>
    <col min="2060" max="2060" width="9" style="164"/>
    <col min="2061" max="2061" width="22.5833333333333" style="164" customWidth="1"/>
    <col min="2062" max="2062" width="37.0833333333333" style="164" customWidth="1"/>
    <col min="2063" max="2304" width="9" style="164"/>
    <col min="2305" max="2305" width="9" style="164" hidden="1" customWidth="1"/>
    <col min="2306" max="2306" width="42.5833333333333" style="164" customWidth="1"/>
    <col min="2307" max="2307" width="11.8333333333333" style="164" customWidth="1"/>
    <col min="2308" max="2309" width="12.5" style="164" customWidth="1"/>
    <col min="2310" max="2310" width="13.8333333333333" style="164" customWidth="1"/>
    <col min="2311" max="2311" width="10.8333333333333" style="164" customWidth="1"/>
    <col min="2312" max="2312" width="11.8333333333333" style="164" customWidth="1"/>
    <col min="2313" max="2313" width="11.0833333333333" style="164" customWidth="1"/>
    <col min="2314" max="2314" width="11.3333333333333" style="164" customWidth="1"/>
    <col min="2315" max="2315" width="10" style="164" customWidth="1"/>
    <col min="2316" max="2316" width="9" style="164"/>
    <col min="2317" max="2317" width="22.5833333333333" style="164" customWidth="1"/>
    <col min="2318" max="2318" width="37.0833333333333" style="164" customWidth="1"/>
    <col min="2319" max="2560" width="9" style="164"/>
    <col min="2561" max="2561" width="9" style="164" hidden="1" customWidth="1"/>
    <col min="2562" max="2562" width="42.5833333333333" style="164" customWidth="1"/>
    <col min="2563" max="2563" width="11.8333333333333" style="164" customWidth="1"/>
    <col min="2564" max="2565" width="12.5" style="164" customWidth="1"/>
    <col min="2566" max="2566" width="13.8333333333333" style="164" customWidth="1"/>
    <col min="2567" max="2567" width="10.8333333333333" style="164" customWidth="1"/>
    <col min="2568" max="2568" width="11.8333333333333" style="164" customWidth="1"/>
    <col min="2569" max="2569" width="11.0833333333333" style="164" customWidth="1"/>
    <col min="2570" max="2570" width="11.3333333333333" style="164" customWidth="1"/>
    <col min="2571" max="2571" width="10" style="164" customWidth="1"/>
    <col min="2572" max="2572" width="9" style="164"/>
    <col min="2573" max="2573" width="22.5833333333333" style="164" customWidth="1"/>
    <col min="2574" max="2574" width="37.0833333333333" style="164" customWidth="1"/>
    <col min="2575" max="2816" width="9" style="164"/>
    <col min="2817" max="2817" width="9" style="164" hidden="1" customWidth="1"/>
    <col min="2818" max="2818" width="42.5833333333333" style="164" customWidth="1"/>
    <col min="2819" max="2819" width="11.8333333333333" style="164" customWidth="1"/>
    <col min="2820" max="2821" width="12.5" style="164" customWidth="1"/>
    <col min="2822" max="2822" width="13.8333333333333" style="164" customWidth="1"/>
    <col min="2823" max="2823" width="10.8333333333333" style="164" customWidth="1"/>
    <col min="2824" max="2824" width="11.8333333333333" style="164" customWidth="1"/>
    <col min="2825" max="2825" width="11.0833333333333" style="164" customWidth="1"/>
    <col min="2826" max="2826" width="11.3333333333333" style="164" customWidth="1"/>
    <col min="2827" max="2827" width="10" style="164" customWidth="1"/>
    <col min="2828" max="2828" width="9" style="164"/>
    <col min="2829" max="2829" width="22.5833333333333" style="164" customWidth="1"/>
    <col min="2830" max="2830" width="37.0833333333333" style="164" customWidth="1"/>
    <col min="2831" max="3072" width="9" style="164"/>
    <col min="3073" max="3073" width="9" style="164" hidden="1" customWidth="1"/>
    <col min="3074" max="3074" width="42.5833333333333" style="164" customWidth="1"/>
    <col min="3075" max="3075" width="11.8333333333333" style="164" customWidth="1"/>
    <col min="3076" max="3077" width="12.5" style="164" customWidth="1"/>
    <col min="3078" max="3078" width="13.8333333333333" style="164" customWidth="1"/>
    <col min="3079" max="3079" width="10.8333333333333" style="164" customWidth="1"/>
    <col min="3080" max="3080" width="11.8333333333333" style="164" customWidth="1"/>
    <col min="3081" max="3081" width="11.0833333333333" style="164" customWidth="1"/>
    <col min="3082" max="3082" width="11.3333333333333" style="164" customWidth="1"/>
    <col min="3083" max="3083" width="10" style="164" customWidth="1"/>
    <col min="3084" max="3084" width="9" style="164"/>
    <col min="3085" max="3085" width="22.5833333333333" style="164" customWidth="1"/>
    <col min="3086" max="3086" width="37.0833333333333" style="164" customWidth="1"/>
    <col min="3087" max="3328" width="9" style="164"/>
    <col min="3329" max="3329" width="9" style="164" hidden="1" customWidth="1"/>
    <col min="3330" max="3330" width="42.5833333333333" style="164" customWidth="1"/>
    <col min="3331" max="3331" width="11.8333333333333" style="164" customWidth="1"/>
    <col min="3332" max="3333" width="12.5" style="164" customWidth="1"/>
    <col min="3334" max="3334" width="13.8333333333333" style="164" customWidth="1"/>
    <col min="3335" max="3335" width="10.8333333333333" style="164" customWidth="1"/>
    <col min="3336" max="3336" width="11.8333333333333" style="164" customWidth="1"/>
    <col min="3337" max="3337" width="11.0833333333333" style="164" customWidth="1"/>
    <col min="3338" max="3338" width="11.3333333333333" style="164" customWidth="1"/>
    <col min="3339" max="3339" width="10" style="164" customWidth="1"/>
    <col min="3340" max="3340" width="9" style="164"/>
    <col min="3341" max="3341" width="22.5833333333333" style="164" customWidth="1"/>
    <col min="3342" max="3342" width="37.0833333333333" style="164" customWidth="1"/>
    <col min="3343" max="3584" width="9" style="164"/>
    <col min="3585" max="3585" width="9" style="164" hidden="1" customWidth="1"/>
    <col min="3586" max="3586" width="42.5833333333333" style="164" customWidth="1"/>
    <col min="3587" max="3587" width="11.8333333333333" style="164" customWidth="1"/>
    <col min="3588" max="3589" width="12.5" style="164" customWidth="1"/>
    <col min="3590" max="3590" width="13.8333333333333" style="164" customWidth="1"/>
    <col min="3591" max="3591" width="10.8333333333333" style="164" customWidth="1"/>
    <col min="3592" max="3592" width="11.8333333333333" style="164" customWidth="1"/>
    <col min="3593" max="3593" width="11.0833333333333" style="164" customWidth="1"/>
    <col min="3594" max="3594" width="11.3333333333333" style="164" customWidth="1"/>
    <col min="3595" max="3595" width="10" style="164" customWidth="1"/>
    <col min="3596" max="3596" width="9" style="164"/>
    <col min="3597" max="3597" width="22.5833333333333" style="164" customWidth="1"/>
    <col min="3598" max="3598" width="37.0833333333333" style="164" customWidth="1"/>
    <col min="3599" max="3840" width="9" style="164"/>
    <col min="3841" max="3841" width="9" style="164" hidden="1" customWidth="1"/>
    <col min="3842" max="3842" width="42.5833333333333" style="164" customWidth="1"/>
    <col min="3843" max="3843" width="11.8333333333333" style="164" customWidth="1"/>
    <col min="3844" max="3845" width="12.5" style="164" customWidth="1"/>
    <col min="3846" max="3846" width="13.8333333333333" style="164" customWidth="1"/>
    <col min="3847" max="3847" width="10.8333333333333" style="164" customWidth="1"/>
    <col min="3848" max="3848" width="11.8333333333333" style="164" customWidth="1"/>
    <col min="3849" max="3849" width="11.0833333333333" style="164" customWidth="1"/>
    <col min="3850" max="3850" width="11.3333333333333" style="164" customWidth="1"/>
    <col min="3851" max="3851" width="10" style="164" customWidth="1"/>
    <col min="3852" max="3852" width="9" style="164"/>
    <col min="3853" max="3853" width="22.5833333333333" style="164" customWidth="1"/>
    <col min="3854" max="3854" width="37.0833333333333" style="164" customWidth="1"/>
    <col min="3855" max="4096" width="9" style="164"/>
    <col min="4097" max="4097" width="9" style="164" hidden="1" customWidth="1"/>
    <col min="4098" max="4098" width="42.5833333333333" style="164" customWidth="1"/>
    <col min="4099" max="4099" width="11.8333333333333" style="164" customWidth="1"/>
    <col min="4100" max="4101" width="12.5" style="164" customWidth="1"/>
    <col min="4102" max="4102" width="13.8333333333333" style="164" customWidth="1"/>
    <col min="4103" max="4103" width="10.8333333333333" style="164" customWidth="1"/>
    <col min="4104" max="4104" width="11.8333333333333" style="164" customWidth="1"/>
    <col min="4105" max="4105" width="11.0833333333333" style="164" customWidth="1"/>
    <col min="4106" max="4106" width="11.3333333333333" style="164" customWidth="1"/>
    <col min="4107" max="4107" width="10" style="164" customWidth="1"/>
    <col min="4108" max="4108" width="9" style="164"/>
    <col min="4109" max="4109" width="22.5833333333333" style="164" customWidth="1"/>
    <col min="4110" max="4110" width="37.0833333333333" style="164" customWidth="1"/>
    <col min="4111" max="4352" width="9" style="164"/>
    <col min="4353" max="4353" width="9" style="164" hidden="1" customWidth="1"/>
    <col min="4354" max="4354" width="42.5833333333333" style="164" customWidth="1"/>
    <col min="4355" max="4355" width="11.8333333333333" style="164" customWidth="1"/>
    <col min="4356" max="4357" width="12.5" style="164" customWidth="1"/>
    <col min="4358" max="4358" width="13.8333333333333" style="164" customWidth="1"/>
    <col min="4359" max="4359" width="10.8333333333333" style="164" customWidth="1"/>
    <col min="4360" max="4360" width="11.8333333333333" style="164" customWidth="1"/>
    <col min="4361" max="4361" width="11.0833333333333" style="164" customWidth="1"/>
    <col min="4362" max="4362" width="11.3333333333333" style="164" customWidth="1"/>
    <col min="4363" max="4363" width="10" style="164" customWidth="1"/>
    <col min="4364" max="4364" width="9" style="164"/>
    <col min="4365" max="4365" width="22.5833333333333" style="164" customWidth="1"/>
    <col min="4366" max="4366" width="37.0833333333333" style="164" customWidth="1"/>
    <col min="4367" max="4608" width="9" style="164"/>
    <col min="4609" max="4609" width="9" style="164" hidden="1" customWidth="1"/>
    <col min="4610" max="4610" width="42.5833333333333" style="164" customWidth="1"/>
    <col min="4611" max="4611" width="11.8333333333333" style="164" customWidth="1"/>
    <col min="4612" max="4613" width="12.5" style="164" customWidth="1"/>
    <col min="4614" max="4614" width="13.8333333333333" style="164" customWidth="1"/>
    <col min="4615" max="4615" width="10.8333333333333" style="164" customWidth="1"/>
    <col min="4616" max="4616" width="11.8333333333333" style="164" customWidth="1"/>
    <col min="4617" max="4617" width="11.0833333333333" style="164" customWidth="1"/>
    <col min="4618" max="4618" width="11.3333333333333" style="164" customWidth="1"/>
    <col min="4619" max="4619" width="10" style="164" customWidth="1"/>
    <col min="4620" max="4620" width="9" style="164"/>
    <col min="4621" max="4621" width="22.5833333333333" style="164" customWidth="1"/>
    <col min="4622" max="4622" width="37.0833333333333" style="164" customWidth="1"/>
    <col min="4623" max="4864" width="9" style="164"/>
    <col min="4865" max="4865" width="9" style="164" hidden="1" customWidth="1"/>
    <col min="4866" max="4866" width="42.5833333333333" style="164" customWidth="1"/>
    <col min="4867" max="4867" width="11.8333333333333" style="164" customWidth="1"/>
    <col min="4868" max="4869" width="12.5" style="164" customWidth="1"/>
    <col min="4870" max="4870" width="13.8333333333333" style="164" customWidth="1"/>
    <col min="4871" max="4871" width="10.8333333333333" style="164" customWidth="1"/>
    <col min="4872" max="4872" width="11.8333333333333" style="164" customWidth="1"/>
    <col min="4873" max="4873" width="11.0833333333333" style="164" customWidth="1"/>
    <col min="4874" max="4874" width="11.3333333333333" style="164" customWidth="1"/>
    <col min="4875" max="4875" width="10" style="164" customWidth="1"/>
    <col min="4876" max="4876" width="9" style="164"/>
    <col min="4877" max="4877" width="22.5833333333333" style="164" customWidth="1"/>
    <col min="4878" max="4878" width="37.0833333333333" style="164" customWidth="1"/>
    <col min="4879" max="5120" width="9" style="164"/>
    <col min="5121" max="5121" width="9" style="164" hidden="1" customWidth="1"/>
    <col min="5122" max="5122" width="42.5833333333333" style="164" customWidth="1"/>
    <col min="5123" max="5123" width="11.8333333333333" style="164" customWidth="1"/>
    <col min="5124" max="5125" width="12.5" style="164" customWidth="1"/>
    <col min="5126" max="5126" width="13.8333333333333" style="164" customWidth="1"/>
    <col min="5127" max="5127" width="10.8333333333333" style="164" customWidth="1"/>
    <col min="5128" max="5128" width="11.8333333333333" style="164" customWidth="1"/>
    <col min="5129" max="5129" width="11.0833333333333" style="164" customWidth="1"/>
    <col min="5130" max="5130" width="11.3333333333333" style="164" customWidth="1"/>
    <col min="5131" max="5131" width="10" style="164" customWidth="1"/>
    <col min="5132" max="5132" width="9" style="164"/>
    <col min="5133" max="5133" width="22.5833333333333" style="164" customWidth="1"/>
    <col min="5134" max="5134" width="37.0833333333333" style="164" customWidth="1"/>
    <col min="5135" max="5376" width="9" style="164"/>
    <col min="5377" max="5377" width="9" style="164" hidden="1" customWidth="1"/>
    <col min="5378" max="5378" width="42.5833333333333" style="164" customWidth="1"/>
    <col min="5379" max="5379" width="11.8333333333333" style="164" customWidth="1"/>
    <col min="5380" max="5381" width="12.5" style="164" customWidth="1"/>
    <col min="5382" max="5382" width="13.8333333333333" style="164" customWidth="1"/>
    <col min="5383" max="5383" width="10.8333333333333" style="164" customWidth="1"/>
    <col min="5384" max="5384" width="11.8333333333333" style="164" customWidth="1"/>
    <col min="5385" max="5385" width="11.0833333333333" style="164" customWidth="1"/>
    <col min="5386" max="5386" width="11.3333333333333" style="164" customWidth="1"/>
    <col min="5387" max="5387" width="10" style="164" customWidth="1"/>
    <col min="5388" max="5388" width="9" style="164"/>
    <col min="5389" max="5389" width="22.5833333333333" style="164" customWidth="1"/>
    <col min="5390" max="5390" width="37.0833333333333" style="164" customWidth="1"/>
    <col min="5391" max="5632" width="9" style="164"/>
    <col min="5633" max="5633" width="9" style="164" hidden="1" customWidth="1"/>
    <col min="5634" max="5634" width="42.5833333333333" style="164" customWidth="1"/>
    <col min="5635" max="5635" width="11.8333333333333" style="164" customWidth="1"/>
    <col min="5636" max="5637" width="12.5" style="164" customWidth="1"/>
    <col min="5638" max="5638" width="13.8333333333333" style="164" customWidth="1"/>
    <col min="5639" max="5639" width="10.8333333333333" style="164" customWidth="1"/>
    <col min="5640" max="5640" width="11.8333333333333" style="164" customWidth="1"/>
    <col min="5641" max="5641" width="11.0833333333333" style="164" customWidth="1"/>
    <col min="5642" max="5642" width="11.3333333333333" style="164" customWidth="1"/>
    <col min="5643" max="5643" width="10" style="164" customWidth="1"/>
    <col min="5644" max="5644" width="9" style="164"/>
    <col min="5645" max="5645" width="22.5833333333333" style="164" customWidth="1"/>
    <col min="5646" max="5646" width="37.0833333333333" style="164" customWidth="1"/>
    <col min="5647" max="5888" width="9" style="164"/>
    <col min="5889" max="5889" width="9" style="164" hidden="1" customWidth="1"/>
    <col min="5890" max="5890" width="42.5833333333333" style="164" customWidth="1"/>
    <col min="5891" max="5891" width="11.8333333333333" style="164" customWidth="1"/>
    <col min="5892" max="5893" width="12.5" style="164" customWidth="1"/>
    <col min="5894" max="5894" width="13.8333333333333" style="164" customWidth="1"/>
    <col min="5895" max="5895" width="10.8333333333333" style="164" customWidth="1"/>
    <col min="5896" max="5896" width="11.8333333333333" style="164" customWidth="1"/>
    <col min="5897" max="5897" width="11.0833333333333" style="164" customWidth="1"/>
    <col min="5898" max="5898" width="11.3333333333333" style="164" customWidth="1"/>
    <col min="5899" max="5899" width="10" style="164" customWidth="1"/>
    <col min="5900" max="5900" width="9" style="164"/>
    <col min="5901" max="5901" width="22.5833333333333" style="164" customWidth="1"/>
    <col min="5902" max="5902" width="37.0833333333333" style="164" customWidth="1"/>
    <col min="5903" max="6144" width="9" style="164"/>
    <col min="6145" max="6145" width="9" style="164" hidden="1" customWidth="1"/>
    <col min="6146" max="6146" width="42.5833333333333" style="164" customWidth="1"/>
    <col min="6147" max="6147" width="11.8333333333333" style="164" customWidth="1"/>
    <col min="6148" max="6149" width="12.5" style="164" customWidth="1"/>
    <col min="6150" max="6150" width="13.8333333333333" style="164" customWidth="1"/>
    <col min="6151" max="6151" width="10.8333333333333" style="164" customWidth="1"/>
    <col min="6152" max="6152" width="11.8333333333333" style="164" customWidth="1"/>
    <col min="6153" max="6153" width="11.0833333333333" style="164" customWidth="1"/>
    <col min="6154" max="6154" width="11.3333333333333" style="164" customWidth="1"/>
    <col min="6155" max="6155" width="10" style="164" customWidth="1"/>
    <col min="6156" max="6156" width="9" style="164"/>
    <col min="6157" max="6157" width="22.5833333333333" style="164" customWidth="1"/>
    <col min="6158" max="6158" width="37.0833333333333" style="164" customWidth="1"/>
    <col min="6159" max="6400" width="9" style="164"/>
    <col min="6401" max="6401" width="9" style="164" hidden="1" customWidth="1"/>
    <col min="6402" max="6402" width="42.5833333333333" style="164" customWidth="1"/>
    <col min="6403" max="6403" width="11.8333333333333" style="164" customWidth="1"/>
    <col min="6404" max="6405" width="12.5" style="164" customWidth="1"/>
    <col min="6406" max="6406" width="13.8333333333333" style="164" customWidth="1"/>
    <col min="6407" max="6407" width="10.8333333333333" style="164" customWidth="1"/>
    <col min="6408" max="6408" width="11.8333333333333" style="164" customWidth="1"/>
    <col min="6409" max="6409" width="11.0833333333333" style="164" customWidth="1"/>
    <col min="6410" max="6410" width="11.3333333333333" style="164" customWidth="1"/>
    <col min="6411" max="6411" width="10" style="164" customWidth="1"/>
    <col min="6412" max="6412" width="9" style="164"/>
    <col min="6413" max="6413" width="22.5833333333333" style="164" customWidth="1"/>
    <col min="6414" max="6414" width="37.0833333333333" style="164" customWidth="1"/>
    <col min="6415" max="6656" width="9" style="164"/>
    <col min="6657" max="6657" width="9" style="164" hidden="1" customWidth="1"/>
    <col min="6658" max="6658" width="42.5833333333333" style="164" customWidth="1"/>
    <col min="6659" max="6659" width="11.8333333333333" style="164" customWidth="1"/>
    <col min="6660" max="6661" width="12.5" style="164" customWidth="1"/>
    <col min="6662" max="6662" width="13.8333333333333" style="164" customWidth="1"/>
    <col min="6663" max="6663" width="10.8333333333333" style="164" customWidth="1"/>
    <col min="6664" max="6664" width="11.8333333333333" style="164" customWidth="1"/>
    <col min="6665" max="6665" width="11.0833333333333" style="164" customWidth="1"/>
    <col min="6666" max="6666" width="11.3333333333333" style="164" customWidth="1"/>
    <col min="6667" max="6667" width="10" style="164" customWidth="1"/>
    <col min="6668" max="6668" width="9" style="164"/>
    <col min="6669" max="6669" width="22.5833333333333" style="164" customWidth="1"/>
    <col min="6670" max="6670" width="37.0833333333333" style="164" customWidth="1"/>
    <col min="6671" max="6912" width="9" style="164"/>
    <col min="6913" max="6913" width="9" style="164" hidden="1" customWidth="1"/>
    <col min="6914" max="6914" width="42.5833333333333" style="164" customWidth="1"/>
    <col min="6915" max="6915" width="11.8333333333333" style="164" customWidth="1"/>
    <col min="6916" max="6917" width="12.5" style="164" customWidth="1"/>
    <col min="6918" max="6918" width="13.8333333333333" style="164" customWidth="1"/>
    <col min="6919" max="6919" width="10.8333333333333" style="164" customWidth="1"/>
    <col min="6920" max="6920" width="11.8333333333333" style="164" customWidth="1"/>
    <col min="6921" max="6921" width="11.0833333333333" style="164" customWidth="1"/>
    <col min="6922" max="6922" width="11.3333333333333" style="164" customWidth="1"/>
    <col min="6923" max="6923" width="10" style="164" customWidth="1"/>
    <col min="6924" max="6924" width="9" style="164"/>
    <col min="6925" max="6925" width="22.5833333333333" style="164" customWidth="1"/>
    <col min="6926" max="6926" width="37.0833333333333" style="164" customWidth="1"/>
    <col min="6927" max="7168" width="9" style="164"/>
    <col min="7169" max="7169" width="9" style="164" hidden="1" customWidth="1"/>
    <col min="7170" max="7170" width="42.5833333333333" style="164" customWidth="1"/>
    <col min="7171" max="7171" width="11.8333333333333" style="164" customWidth="1"/>
    <col min="7172" max="7173" width="12.5" style="164" customWidth="1"/>
    <col min="7174" max="7174" width="13.8333333333333" style="164" customWidth="1"/>
    <col min="7175" max="7175" width="10.8333333333333" style="164" customWidth="1"/>
    <col min="7176" max="7176" width="11.8333333333333" style="164" customWidth="1"/>
    <col min="7177" max="7177" width="11.0833333333333" style="164" customWidth="1"/>
    <col min="7178" max="7178" width="11.3333333333333" style="164" customWidth="1"/>
    <col min="7179" max="7179" width="10" style="164" customWidth="1"/>
    <col min="7180" max="7180" width="9" style="164"/>
    <col min="7181" max="7181" width="22.5833333333333" style="164" customWidth="1"/>
    <col min="7182" max="7182" width="37.0833333333333" style="164" customWidth="1"/>
    <col min="7183" max="7424" width="9" style="164"/>
    <col min="7425" max="7425" width="9" style="164" hidden="1" customWidth="1"/>
    <col min="7426" max="7426" width="42.5833333333333" style="164" customWidth="1"/>
    <col min="7427" max="7427" width="11.8333333333333" style="164" customWidth="1"/>
    <col min="7428" max="7429" width="12.5" style="164" customWidth="1"/>
    <col min="7430" max="7430" width="13.8333333333333" style="164" customWidth="1"/>
    <col min="7431" max="7431" width="10.8333333333333" style="164" customWidth="1"/>
    <col min="7432" max="7432" width="11.8333333333333" style="164" customWidth="1"/>
    <col min="7433" max="7433" width="11.0833333333333" style="164" customWidth="1"/>
    <col min="7434" max="7434" width="11.3333333333333" style="164" customWidth="1"/>
    <col min="7435" max="7435" width="10" style="164" customWidth="1"/>
    <col min="7436" max="7436" width="9" style="164"/>
    <col min="7437" max="7437" width="22.5833333333333" style="164" customWidth="1"/>
    <col min="7438" max="7438" width="37.0833333333333" style="164" customWidth="1"/>
    <col min="7439" max="7680" width="9" style="164"/>
    <col min="7681" max="7681" width="9" style="164" hidden="1" customWidth="1"/>
    <col min="7682" max="7682" width="42.5833333333333" style="164" customWidth="1"/>
    <col min="7683" max="7683" width="11.8333333333333" style="164" customWidth="1"/>
    <col min="7684" max="7685" width="12.5" style="164" customWidth="1"/>
    <col min="7686" max="7686" width="13.8333333333333" style="164" customWidth="1"/>
    <col min="7687" max="7687" width="10.8333333333333" style="164" customWidth="1"/>
    <col min="7688" max="7688" width="11.8333333333333" style="164" customWidth="1"/>
    <col min="7689" max="7689" width="11.0833333333333" style="164" customWidth="1"/>
    <col min="7690" max="7690" width="11.3333333333333" style="164" customWidth="1"/>
    <col min="7691" max="7691" width="10" style="164" customWidth="1"/>
    <col min="7692" max="7692" width="9" style="164"/>
    <col min="7693" max="7693" width="22.5833333333333" style="164" customWidth="1"/>
    <col min="7694" max="7694" width="37.0833333333333" style="164" customWidth="1"/>
    <col min="7695" max="7936" width="9" style="164"/>
    <col min="7937" max="7937" width="9" style="164" hidden="1" customWidth="1"/>
    <col min="7938" max="7938" width="42.5833333333333" style="164" customWidth="1"/>
    <col min="7939" max="7939" width="11.8333333333333" style="164" customWidth="1"/>
    <col min="7940" max="7941" width="12.5" style="164" customWidth="1"/>
    <col min="7942" max="7942" width="13.8333333333333" style="164" customWidth="1"/>
    <col min="7943" max="7943" width="10.8333333333333" style="164" customWidth="1"/>
    <col min="7944" max="7944" width="11.8333333333333" style="164" customWidth="1"/>
    <col min="7945" max="7945" width="11.0833333333333" style="164" customWidth="1"/>
    <col min="7946" max="7946" width="11.3333333333333" style="164" customWidth="1"/>
    <col min="7947" max="7947" width="10" style="164" customWidth="1"/>
    <col min="7948" max="7948" width="9" style="164"/>
    <col min="7949" max="7949" width="22.5833333333333" style="164" customWidth="1"/>
    <col min="7950" max="7950" width="37.0833333333333" style="164" customWidth="1"/>
    <col min="7951" max="8192" width="9" style="164"/>
    <col min="8193" max="8193" width="9" style="164" hidden="1" customWidth="1"/>
    <col min="8194" max="8194" width="42.5833333333333" style="164" customWidth="1"/>
    <col min="8195" max="8195" width="11.8333333333333" style="164" customWidth="1"/>
    <col min="8196" max="8197" width="12.5" style="164" customWidth="1"/>
    <col min="8198" max="8198" width="13.8333333333333" style="164" customWidth="1"/>
    <col min="8199" max="8199" width="10.8333333333333" style="164" customWidth="1"/>
    <col min="8200" max="8200" width="11.8333333333333" style="164" customWidth="1"/>
    <col min="8201" max="8201" width="11.0833333333333" style="164" customWidth="1"/>
    <col min="8202" max="8202" width="11.3333333333333" style="164" customWidth="1"/>
    <col min="8203" max="8203" width="10" style="164" customWidth="1"/>
    <col min="8204" max="8204" width="9" style="164"/>
    <col min="8205" max="8205" width="22.5833333333333" style="164" customWidth="1"/>
    <col min="8206" max="8206" width="37.0833333333333" style="164" customWidth="1"/>
    <col min="8207" max="8448" width="9" style="164"/>
    <col min="8449" max="8449" width="9" style="164" hidden="1" customWidth="1"/>
    <col min="8450" max="8450" width="42.5833333333333" style="164" customWidth="1"/>
    <col min="8451" max="8451" width="11.8333333333333" style="164" customWidth="1"/>
    <col min="8452" max="8453" width="12.5" style="164" customWidth="1"/>
    <col min="8454" max="8454" width="13.8333333333333" style="164" customWidth="1"/>
    <col min="8455" max="8455" width="10.8333333333333" style="164" customWidth="1"/>
    <col min="8456" max="8456" width="11.8333333333333" style="164" customWidth="1"/>
    <col min="8457" max="8457" width="11.0833333333333" style="164" customWidth="1"/>
    <col min="8458" max="8458" width="11.3333333333333" style="164" customWidth="1"/>
    <col min="8459" max="8459" width="10" style="164" customWidth="1"/>
    <col min="8460" max="8460" width="9" style="164"/>
    <col min="8461" max="8461" width="22.5833333333333" style="164" customWidth="1"/>
    <col min="8462" max="8462" width="37.0833333333333" style="164" customWidth="1"/>
    <col min="8463" max="8704" width="9" style="164"/>
    <col min="8705" max="8705" width="9" style="164" hidden="1" customWidth="1"/>
    <col min="8706" max="8706" width="42.5833333333333" style="164" customWidth="1"/>
    <col min="8707" max="8707" width="11.8333333333333" style="164" customWidth="1"/>
    <col min="8708" max="8709" width="12.5" style="164" customWidth="1"/>
    <col min="8710" max="8710" width="13.8333333333333" style="164" customWidth="1"/>
    <col min="8711" max="8711" width="10.8333333333333" style="164" customWidth="1"/>
    <col min="8712" max="8712" width="11.8333333333333" style="164" customWidth="1"/>
    <col min="8713" max="8713" width="11.0833333333333" style="164" customWidth="1"/>
    <col min="8714" max="8714" width="11.3333333333333" style="164" customWidth="1"/>
    <col min="8715" max="8715" width="10" style="164" customWidth="1"/>
    <col min="8716" max="8716" width="9" style="164"/>
    <col min="8717" max="8717" width="22.5833333333333" style="164" customWidth="1"/>
    <col min="8718" max="8718" width="37.0833333333333" style="164" customWidth="1"/>
    <col min="8719" max="8960" width="9" style="164"/>
    <col min="8961" max="8961" width="9" style="164" hidden="1" customWidth="1"/>
    <col min="8962" max="8962" width="42.5833333333333" style="164" customWidth="1"/>
    <col min="8963" max="8963" width="11.8333333333333" style="164" customWidth="1"/>
    <col min="8964" max="8965" width="12.5" style="164" customWidth="1"/>
    <col min="8966" max="8966" width="13.8333333333333" style="164" customWidth="1"/>
    <col min="8967" max="8967" width="10.8333333333333" style="164" customWidth="1"/>
    <col min="8968" max="8968" width="11.8333333333333" style="164" customWidth="1"/>
    <col min="8969" max="8969" width="11.0833333333333" style="164" customWidth="1"/>
    <col min="8970" max="8970" width="11.3333333333333" style="164" customWidth="1"/>
    <col min="8971" max="8971" width="10" style="164" customWidth="1"/>
    <col min="8972" max="8972" width="9" style="164"/>
    <col min="8973" max="8973" width="22.5833333333333" style="164" customWidth="1"/>
    <col min="8974" max="8974" width="37.0833333333333" style="164" customWidth="1"/>
    <col min="8975" max="9216" width="9" style="164"/>
    <col min="9217" max="9217" width="9" style="164" hidden="1" customWidth="1"/>
    <col min="9218" max="9218" width="42.5833333333333" style="164" customWidth="1"/>
    <col min="9219" max="9219" width="11.8333333333333" style="164" customWidth="1"/>
    <col min="9220" max="9221" width="12.5" style="164" customWidth="1"/>
    <col min="9222" max="9222" width="13.8333333333333" style="164" customWidth="1"/>
    <col min="9223" max="9223" width="10.8333333333333" style="164" customWidth="1"/>
    <col min="9224" max="9224" width="11.8333333333333" style="164" customWidth="1"/>
    <col min="9225" max="9225" width="11.0833333333333" style="164" customWidth="1"/>
    <col min="9226" max="9226" width="11.3333333333333" style="164" customWidth="1"/>
    <col min="9227" max="9227" width="10" style="164" customWidth="1"/>
    <col min="9228" max="9228" width="9" style="164"/>
    <col min="9229" max="9229" width="22.5833333333333" style="164" customWidth="1"/>
    <col min="9230" max="9230" width="37.0833333333333" style="164" customWidth="1"/>
    <col min="9231" max="9472" width="9" style="164"/>
    <col min="9473" max="9473" width="9" style="164" hidden="1" customWidth="1"/>
    <col min="9474" max="9474" width="42.5833333333333" style="164" customWidth="1"/>
    <col min="9475" max="9475" width="11.8333333333333" style="164" customWidth="1"/>
    <col min="9476" max="9477" width="12.5" style="164" customWidth="1"/>
    <col min="9478" max="9478" width="13.8333333333333" style="164" customWidth="1"/>
    <col min="9479" max="9479" width="10.8333333333333" style="164" customWidth="1"/>
    <col min="9480" max="9480" width="11.8333333333333" style="164" customWidth="1"/>
    <col min="9481" max="9481" width="11.0833333333333" style="164" customWidth="1"/>
    <col min="9482" max="9482" width="11.3333333333333" style="164" customWidth="1"/>
    <col min="9483" max="9483" width="10" style="164" customWidth="1"/>
    <col min="9484" max="9484" width="9" style="164"/>
    <col min="9485" max="9485" width="22.5833333333333" style="164" customWidth="1"/>
    <col min="9486" max="9486" width="37.0833333333333" style="164" customWidth="1"/>
    <col min="9487" max="9728" width="9" style="164"/>
    <col min="9729" max="9729" width="9" style="164" hidden="1" customWidth="1"/>
    <col min="9730" max="9730" width="42.5833333333333" style="164" customWidth="1"/>
    <col min="9731" max="9731" width="11.8333333333333" style="164" customWidth="1"/>
    <col min="9732" max="9733" width="12.5" style="164" customWidth="1"/>
    <col min="9734" max="9734" width="13.8333333333333" style="164" customWidth="1"/>
    <col min="9735" max="9735" width="10.8333333333333" style="164" customWidth="1"/>
    <col min="9736" max="9736" width="11.8333333333333" style="164" customWidth="1"/>
    <col min="9737" max="9737" width="11.0833333333333" style="164" customWidth="1"/>
    <col min="9738" max="9738" width="11.3333333333333" style="164" customWidth="1"/>
    <col min="9739" max="9739" width="10" style="164" customWidth="1"/>
    <col min="9740" max="9740" width="9" style="164"/>
    <col min="9741" max="9741" width="22.5833333333333" style="164" customWidth="1"/>
    <col min="9742" max="9742" width="37.0833333333333" style="164" customWidth="1"/>
    <col min="9743" max="9984" width="9" style="164"/>
    <col min="9985" max="9985" width="9" style="164" hidden="1" customWidth="1"/>
    <col min="9986" max="9986" width="42.5833333333333" style="164" customWidth="1"/>
    <col min="9987" max="9987" width="11.8333333333333" style="164" customWidth="1"/>
    <col min="9988" max="9989" width="12.5" style="164" customWidth="1"/>
    <col min="9990" max="9990" width="13.8333333333333" style="164" customWidth="1"/>
    <col min="9991" max="9991" width="10.8333333333333" style="164" customWidth="1"/>
    <col min="9992" max="9992" width="11.8333333333333" style="164" customWidth="1"/>
    <col min="9993" max="9993" width="11.0833333333333" style="164" customWidth="1"/>
    <col min="9994" max="9994" width="11.3333333333333" style="164" customWidth="1"/>
    <col min="9995" max="9995" width="10" style="164" customWidth="1"/>
    <col min="9996" max="9996" width="9" style="164"/>
    <col min="9997" max="9997" width="22.5833333333333" style="164" customWidth="1"/>
    <col min="9998" max="9998" width="37.0833333333333" style="164" customWidth="1"/>
    <col min="9999" max="10240" width="9" style="164"/>
    <col min="10241" max="10241" width="9" style="164" hidden="1" customWidth="1"/>
    <col min="10242" max="10242" width="42.5833333333333" style="164" customWidth="1"/>
    <col min="10243" max="10243" width="11.8333333333333" style="164" customWidth="1"/>
    <col min="10244" max="10245" width="12.5" style="164" customWidth="1"/>
    <col min="10246" max="10246" width="13.8333333333333" style="164" customWidth="1"/>
    <col min="10247" max="10247" width="10.8333333333333" style="164" customWidth="1"/>
    <col min="10248" max="10248" width="11.8333333333333" style="164" customWidth="1"/>
    <col min="10249" max="10249" width="11.0833333333333" style="164" customWidth="1"/>
    <col min="10250" max="10250" width="11.3333333333333" style="164" customWidth="1"/>
    <col min="10251" max="10251" width="10" style="164" customWidth="1"/>
    <col min="10252" max="10252" width="9" style="164"/>
    <col min="10253" max="10253" width="22.5833333333333" style="164" customWidth="1"/>
    <col min="10254" max="10254" width="37.0833333333333" style="164" customWidth="1"/>
    <col min="10255" max="10496" width="9" style="164"/>
    <col min="10497" max="10497" width="9" style="164" hidden="1" customWidth="1"/>
    <col min="10498" max="10498" width="42.5833333333333" style="164" customWidth="1"/>
    <col min="10499" max="10499" width="11.8333333333333" style="164" customWidth="1"/>
    <col min="10500" max="10501" width="12.5" style="164" customWidth="1"/>
    <col min="10502" max="10502" width="13.8333333333333" style="164" customWidth="1"/>
    <col min="10503" max="10503" width="10.8333333333333" style="164" customWidth="1"/>
    <col min="10504" max="10504" width="11.8333333333333" style="164" customWidth="1"/>
    <col min="10505" max="10505" width="11.0833333333333" style="164" customWidth="1"/>
    <col min="10506" max="10506" width="11.3333333333333" style="164" customWidth="1"/>
    <col min="10507" max="10507" width="10" style="164" customWidth="1"/>
    <col min="10508" max="10508" width="9" style="164"/>
    <col min="10509" max="10509" width="22.5833333333333" style="164" customWidth="1"/>
    <col min="10510" max="10510" width="37.0833333333333" style="164" customWidth="1"/>
    <col min="10511" max="10752" width="9" style="164"/>
    <col min="10753" max="10753" width="9" style="164" hidden="1" customWidth="1"/>
    <col min="10754" max="10754" width="42.5833333333333" style="164" customWidth="1"/>
    <col min="10755" max="10755" width="11.8333333333333" style="164" customWidth="1"/>
    <col min="10756" max="10757" width="12.5" style="164" customWidth="1"/>
    <col min="10758" max="10758" width="13.8333333333333" style="164" customWidth="1"/>
    <col min="10759" max="10759" width="10.8333333333333" style="164" customWidth="1"/>
    <col min="10760" max="10760" width="11.8333333333333" style="164" customWidth="1"/>
    <col min="10761" max="10761" width="11.0833333333333" style="164" customWidth="1"/>
    <col min="10762" max="10762" width="11.3333333333333" style="164" customWidth="1"/>
    <col min="10763" max="10763" width="10" style="164" customWidth="1"/>
    <col min="10764" max="10764" width="9" style="164"/>
    <col min="10765" max="10765" width="22.5833333333333" style="164" customWidth="1"/>
    <col min="10766" max="10766" width="37.0833333333333" style="164" customWidth="1"/>
    <col min="10767" max="11008" width="9" style="164"/>
    <col min="11009" max="11009" width="9" style="164" hidden="1" customWidth="1"/>
    <col min="11010" max="11010" width="42.5833333333333" style="164" customWidth="1"/>
    <col min="11011" max="11011" width="11.8333333333333" style="164" customWidth="1"/>
    <col min="11012" max="11013" width="12.5" style="164" customWidth="1"/>
    <col min="11014" max="11014" width="13.8333333333333" style="164" customWidth="1"/>
    <col min="11015" max="11015" width="10.8333333333333" style="164" customWidth="1"/>
    <col min="11016" max="11016" width="11.8333333333333" style="164" customWidth="1"/>
    <col min="11017" max="11017" width="11.0833333333333" style="164" customWidth="1"/>
    <col min="11018" max="11018" width="11.3333333333333" style="164" customWidth="1"/>
    <col min="11019" max="11019" width="10" style="164" customWidth="1"/>
    <col min="11020" max="11020" width="9" style="164"/>
    <col min="11021" max="11021" width="22.5833333333333" style="164" customWidth="1"/>
    <col min="11022" max="11022" width="37.0833333333333" style="164" customWidth="1"/>
    <col min="11023" max="11264" width="9" style="164"/>
    <col min="11265" max="11265" width="9" style="164" hidden="1" customWidth="1"/>
    <col min="11266" max="11266" width="42.5833333333333" style="164" customWidth="1"/>
    <col min="11267" max="11267" width="11.8333333333333" style="164" customWidth="1"/>
    <col min="11268" max="11269" width="12.5" style="164" customWidth="1"/>
    <col min="11270" max="11270" width="13.8333333333333" style="164" customWidth="1"/>
    <col min="11271" max="11271" width="10.8333333333333" style="164" customWidth="1"/>
    <col min="11272" max="11272" width="11.8333333333333" style="164" customWidth="1"/>
    <col min="11273" max="11273" width="11.0833333333333" style="164" customWidth="1"/>
    <col min="11274" max="11274" width="11.3333333333333" style="164" customWidth="1"/>
    <col min="11275" max="11275" width="10" style="164" customWidth="1"/>
    <col min="11276" max="11276" width="9" style="164"/>
    <col min="11277" max="11277" width="22.5833333333333" style="164" customWidth="1"/>
    <col min="11278" max="11278" width="37.0833333333333" style="164" customWidth="1"/>
    <col min="11279" max="11520" width="9" style="164"/>
    <col min="11521" max="11521" width="9" style="164" hidden="1" customWidth="1"/>
    <col min="11522" max="11522" width="42.5833333333333" style="164" customWidth="1"/>
    <col min="11523" max="11523" width="11.8333333333333" style="164" customWidth="1"/>
    <col min="11524" max="11525" width="12.5" style="164" customWidth="1"/>
    <col min="11526" max="11526" width="13.8333333333333" style="164" customWidth="1"/>
    <col min="11527" max="11527" width="10.8333333333333" style="164" customWidth="1"/>
    <col min="11528" max="11528" width="11.8333333333333" style="164" customWidth="1"/>
    <col min="11529" max="11529" width="11.0833333333333" style="164" customWidth="1"/>
    <col min="11530" max="11530" width="11.3333333333333" style="164" customWidth="1"/>
    <col min="11531" max="11531" width="10" style="164" customWidth="1"/>
    <col min="11532" max="11532" width="9" style="164"/>
    <col min="11533" max="11533" width="22.5833333333333" style="164" customWidth="1"/>
    <col min="11534" max="11534" width="37.0833333333333" style="164" customWidth="1"/>
    <col min="11535" max="11776" width="9" style="164"/>
    <col min="11777" max="11777" width="9" style="164" hidden="1" customWidth="1"/>
    <col min="11778" max="11778" width="42.5833333333333" style="164" customWidth="1"/>
    <col min="11779" max="11779" width="11.8333333333333" style="164" customWidth="1"/>
    <col min="11780" max="11781" width="12.5" style="164" customWidth="1"/>
    <col min="11782" max="11782" width="13.8333333333333" style="164" customWidth="1"/>
    <col min="11783" max="11783" width="10.8333333333333" style="164" customWidth="1"/>
    <col min="11784" max="11784" width="11.8333333333333" style="164" customWidth="1"/>
    <col min="11785" max="11785" width="11.0833333333333" style="164" customWidth="1"/>
    <col min="11786" max="11786" width="11.3333333333333" style="164" customWidth="1"/>
    <col min="11787" max="11787" width="10" style="164" customWidth="1"/>
    <col min="11788" max="11788" width="9" style="164"/>
    <col min="11789" max="11789" width="22.5833333333333" style="164" customWidth="1"/>
    <col min="11790" max="11790" width="37.0833333333333" style="164" customWidth="1"/>
    <col min="11791" max="12032" width="9" style="164"/>
    <col min="12033" max="12033" width="9" style="164" hidden="1" customWidth="1"/>
    <col min="12034" max="12034" width="42.5833333333333" style="164" customWidth="1"/>
    <col min="12035" max="12035" width="11.8333333333333" style="164" customWidth="1"/>
    <col min="12036" max="12037" width="12.5" style="164" customWidth="1"/>
    <col min="12038" max="12038" width="13.8333333333333" style="164" customWidth="1"/>
    <col min="12039" max="12039" width="10.8333333333333" style="164" customWidth="1"/>
    <col min="12040" max="12040" width="11.8333333333333" style="164" customWidth="1"/>
    <col min="12041" max="12041" width="11.0833333333333" style="164" customWidth="1"/>
    <col min="12042" max="12042" width="11.3333333333333" style="164" customWidth="1"/>
    <col min="12043" max="12043" width="10" style="164" customWidth="1"/>
    <col min="12044" max="12044" width="9" style="164"/>
    <col min="12045" max="12045" width="22.5833333333333" style="164" customWidth="1"/>
    <col min="12046" max="12046" width="37.0833333333333" style="164" customWidth="1"/>
    <col min="12047" max="12288" width="9" style="164"/>
    <col min="12289" max="12289" width="9" style="164" hidden="1" customWidth="1"/>
    <col min="12290" max="12290" width="42.5833333333333" style="164" customWidth="1"/>
    <col min="12291" max="12291" width="11.8333333333333" style="164" customWidth="1"/>
    <col min="12292" max="12293" width="12.5" style="164" customWidth="1"/>
    <col min="12294" max="12294" width="13.8333333333333" style="164" customWidth="1"/>
    <col min="12295" max="12295" width="10.8333333333333" style="164" customWidth="1"/>
    <col min="12296" max="12296" width="11.8333333333333" style="164" customWidth="1"/>
    <col min="12297" max="12297" width="11.0833333333333" style="164" customWidth="1"/>
    <col min="12298" max="12298" width="11.3333333333333" style="164" customWidth="1"/>
    <col min="12299" max="12299" width="10" style="164" customWidth="1"/>
    <col min="12300" max="12300" width="9" style="164"/>
    <col min="12301" max="12301" width="22.5833333333333" style="164" customWidth="1"/>
    <col min="12302" max="12302" width="37.0833333333333" style="164" customWidth="1"/>
    <col min="12303" max="12544" width="9" style="164"/>
    <col min="12545" max="12545" width="9" style="164" hidden="1" customWidth="1"/>
    <col min="12546" max="12546" width="42.5833333333333" style="164" customWidth="1"/>
    <col min="12547" max="12547" width="11.8333333333333" style="164" customWidth="1"/>
    <col min="12548" max="12549" width="12.5" style="164" customWidth="1"/>
    <col min="12550" max="12550" width="13.8333333333333" style="164" customWidth="1"/>
    <col min="12551" max="12551" width="10.8333333333333" style="164" customWidth="1"/>
    <col min="12552" max="12552" width="11.8333333333333" style="164" customWidth="1"/>
    <col min="12553" max="12553" width="11.0833333333333" style="164" customWidth="1"/>
    <col min="12554" max="12554" width="11.3333333333333" style="164" customWidth="1"/>
    <col min="12555" max="12555" width="10" style="164" customWidth="1"/>
    <col min="12556" max="12556" width="9" style="164"/>
    <col min="12557" max="12557" width="22.5833333333333" style="164" customWidth="1"/>
    <col min="12558" max="12558" width="37.0833333333333" style="164" customWidth="1"/>
    <col min="12559" max="12800" width="9" style="164"/>
    <col min="12801" max="12801" width="9" style="164" hidden="1" customWidth="1"/>
    <col min="12802" max="12802" width="42.5833333333333" style="164" customWidth="1"/>
    <col min="12803" max="12803" width="11.8333333333333" style="164" customWidth="1"/>
    <col min="12804" max="12805" width="12.5" style="164" customWidth="1"/>
    <col min="12806" max="12806" width="13.8333333333333" style="164" customWidth="1"/>
    <col min="12807" max="12807" width="10.8333333333333" style="164" customWidth="1"/>
    <col min="12808" max="12808" width="11.8333333333333" style="164" customWidth="1"/>
    <col min="12809" max="12809" width="11.0833333333333" style="164" customWidth="1"/>
    <col min="12810" max="12810" width="11.3333333333333" style="164" customWidth="1"/>
    <col min="12811" max="12811" width="10" style="164" customWidth="1"/>
    <col min="12812" max="12812" width="9" style="164"/>
    <col min="12813" max="12813" width="22.5833333333333" style="164" customWidth="1"/>
    <col min="12814" max="12814" width="37.0833333333333" style="164" customWidth="1"/>
    <col min="12815" max="13056" width="9" style="164"/>
    <col min="13057" max="13057" width="9" style="164" hidden="1" customWidth="1"/>
    <col min="13058" max="13058" width="42.5833333333333" style="164" customWidth="1"/>
    <col min="13059" max="13059" width="11.8333333333333" style="164" customWidth="1"/>
    <col min="13060" max="13061" width="12.5" style="164" customWidth="1"/>
    <col min="13062" max="13062" width="13.8333333333333" style="164" customWidth="1"/>
    <col min="13063" max="13063" width="10.8333333333333" style="164" customWidth="1"/>
    <col min="13064" max="13064" width="11.8333333333333" style="164" customWidth="1"/>
    <col min="13065" max="13065" width="11.0833333333333" style="164" customWidth="1"/>
    <col min="13066" max="13066" width="11.3333333333333" style="164" customWidth="1"/>
    <col min="13067" max="13067" width="10" style="164" customWidth="1"/>
    <col min="13068" max="13068" width="9" style="164"/>
    <col min="13069" max="13069" width="22.5833333333333" style="164" customWidth="1"/>
    <col min="13070" max="13070" width="37.0833333333333" style="164" customWidth="1"/>
    <col min="13071" max="13312" width="9" style="164"/>
    <col min="13313" max="13313" width="9" style="164" hidden="1" customWidth="1"/>
    <col min="13314" max="13314" width="42.5833333333333" style="164" customWidth="1"/>
    <col min="13315" max="13315" width="11.8333333333333" style="164" customWidth="1"/>
    <col min="13316" max="13317" width="12.5" style="164" customWidth="1"/>
    <col min="13318" max="13318" width="13.8333333333333" style="164" customWidth="1"/>
    <col min="13319" max="13319" width="10.8333333333333" style="164" customWidth="1"/>
    <col min="13320" max="13320" width="11.8333333333333" style="164" customWidth="1"/>
    <col min="13321" max="13321" width="11.0833333333333" style="164" customWidth="1"/>
    <col min="13322" max="13322" width="11.3333333333333" style="164" customWidth="1"/>
    <col min="13323" max="13323" width="10" style="164" customWidth="1"/>
    <col min="13324" max="13324" width="9" style="164"/>
    <col min="13325" max="13325" width="22.5833333333333" style="164" customWidth="1"/>
    <col min="13326" max="13326" width="37.0833333333333" style="164" customWidth="1"/>
    <col min="13327" max="13568" width="9" style="164"/>
    <col min="13569" max="13569" width="9" style="164" hidden="1" customWidth="1"/>
    <col min="13570" max="13570" width="42.5833333333333" style="164" customWidth="1"/>
    <col min="13571" max="13571" width="11.8333333333333" style="164" customWidth="1"/>
    <col min="13572" max="13573" width="12.5" style="164" customWidth="1"/>
    <col min="13574" max="13574" width="13.8333333333333" style="164" customWidth="1"/>
    <col min="13575" max="13575" width="10.8333333333333" style="164" customWidth="1"/>
    <col min="13576" max="13576" width="11.8333333333333" style="164" customWidth="1"/>
    <col min="13577" max="13577" width="11.0833333333333" style="164" customWidth="1"/>
    <col min="13578" max="13578" width="11.3333333333333" style="164" customWidth="1"/>
    <col min="13579" max="13579" width="10" style="164" customWidth="1"/>
    <col min="13580" max="13580" width="9" style="164"/>
    <col min="13581" max="13581" width="22.5833333333333" style="164" customWidth="1"/>
    <col min="13582" max="13582" width="37.0833333333333" style="164" customWidth="1"/>
    <col min="13583" max="13824" width="9" style="164"/>
    <col min="13825" max="13825" width="9" style="164" hidden="1" customWidth="1"/>
    <col min="13826" max="13826" width="42.5833333333333" style="164" customWidth="1"/>
    <col min="13827" max="13827" width="11.8333333333333" style="164" customWidth="1"/>
    <col min="13828" max="13829" width="12.5" style="164" customWidth="1"/>
    <col min="13830" max="13830" width="13.8333333333333" style="164" customWidth="1"/>
    <col min="13831" max="13831" width="10.8333333333333" style="164" customWidth="1"/>
    <col min="13832" max="13832" width="11.8333333333333" style="164" customWidth="1"/>
    <col min="13833" max="13833" width="11.0833333333333" style="164" customWidth="1"/>
    <col min="13834" max="13834" width="11.3333333333333" style="164" customWidth="1"/>
    <col min="13835" max="13835" width="10" style="164" customWidth="1"/>
    <col min="13836" max="13836" width="9" style="164"/>
    <col min="13837" max="13837" width="22.5833333333333" style="164" customWidth="1"/>
    <col min="13838" max="13838" width="37.0833333333333" style="164" customWidth="1"/>
    <col min="13839" max="14080" width="9" style="164"/>
    <col min="14081" max="14081" width="9" style="164" hidden="1" customWidth="1"/>
    <col min="14082" max="14082" width="42.5833333333333" style="164" customWidth="1"/>
    <col min="14083" max="14083" width="11.8333333333333" style="164" customWidth="1"/>
    <col min="14084" max="14085" width="12.5" style="164" customWidth="1"/>
    <col min="14086" max="14086" width="13.8333333333333" style="164" customWidth="1"/>
    <col min="14087" max="14087" width="10.8333333333333" style="164" customWidth="1"/>
    <col min="14088" max="14088" width="11.8333333333333" style="164" customWidth="1"/>
    <col min="14089" max="14089" width="11.0833333333333" style="164" customWidth="1"/>
    <col min="14090" max="14090" width="11.3333333333333" style="164" customWidth="1"/>
    <col min="14091" max="14091" width="10" style="164" customWidth="1"/>
    <col min="14092" max="14092" width="9" style="164"/>
    <col min="14093" max="14093" width="22.5833333333333" style="164" customWidth="1"/>
    <col min="14094" max="14094" width="37.0833333333333" style="164" customWidth="1"/>
    <col min="14095" max="14336" width="9" style="164"/>
    <col min="14337" max="14337" width="9" style="164" hidden="1" customWidth="1"/>
    <col min="14338" max="14338" width="42.5833333333333" style="164" customWidth="1"/>
    <col min="14339" max="14339" width="11.8333333333333" style="164" customWidth="1"/>
    <col min="14340" max="14341" width="12.5" style="164" customWidth="1"/>
    <col min="14342" max="14342" width="13.8333333333333" style="164" customWidth="1"/>
    <col min="14343" max="14343" width="10.8333333333333" style="164" customWidth="1"/>
    <col min="14344" max="14344" width="11.8333333333333" style="164" customWidth="1"/>
    <col min="14345" max="14345" width="11.0833333333333" style="164" customWidth="1"/>
    <col min="14346" max="14346" width="11.3333333333333" style="164" customWidth="1"/>
    <col min="14347" max="14347" width="10" style="164" customWidth="1"/>
    <col min="14348" max="14348" width="9" style="164"/>
    <col min="14349" max="14349" width="22.5833333333333" style="164" customWidth="1"/>
    <col min="14350" max="14350" width="37.0833333333333" style="164" customWidth="1"/>
    <col min="14351" max="14592" width="9" style="164"/>
    <col min="14593" max="14593" width="9" style="164" hidden="1" customWidth="1"/>
    <col min="14594" max="14594" width="42.5833333333333" style="164" customWidth="1"/>
    <col min="14595" max="14595" width="11.8333333333333" style="164" customWidth="1"/>
    <col min="14596" max="14597" width="12.5" style="164" customWidth="1"/>
    <col min="14598" max="14598" width="13.8333333333333" style="164" customWidth="1"/>
    <col min="14599" max="14599" width="10.8333333333333" style="164" customWidth="1"/>
    <col min="14600" max="14600" width="11.8333333333333" style="164" customWidth="1"/>
    <col min="14601" max="14601" width="11.0833333333333" style="164" customWidth="1"/>
    <col min="14602" max="14602" width="11.3333333333333" style="164" customWidth="1"/>
    <col min="14603" max="14603" width="10" style="164" customWidth="1"/>
    <col min="14604" max="14604" width="9" style="164"/>
    <col min="14605" max="14605" width="22.5833333333333" style="164" customWidth="1"/>
    <col min="14606" max="14606" width="37.0833333333333" style="164" customWidth="1"/>
    <col min="14607" max="14848" width="9" style="164"/>
    <col min="14849" max="14849" width="9" style="164" hidden="1" customWidth="1"/>
    <col min="14850" max="14850" width="42.5833333333333" style="164" customWidth="1"/>
    <col min="14851" max="14851" width="11.8333333333333" style="164" customWidth="1"/>
    <col min="14852" max="14853" width="12.5" style="164" customWidth="1"/>
    <col min="14854" max="14854" width="13.8333333333333" style="164" customWidth="1"/>
    <col min="14855" max="14855" width="10.8333333333333" style="164" customWidth="1"/>
    <col min="14856" max="14856" width="11.8333333333333" style="164" customWidth="1"/>
    <col min="14857" max="14857" width="11.0833333333333" style="164" customWidth="1"/>
    <col min="14858" max="14858" width="11.3333333333333" style="164" customWidth="1"/>
    <col min="14859" max="14859" width="10" style="164" customWidth="1"/>
    <col min="14860" max="14860" width="9" style="164"/>
    <col min="14861" max="14861" width="22.5833333333333" style="164" customWidth="1"/>
    <col min="14862" max="14862" width="37.0833333333333" style="164" customWidth="1"/>
    <col min="14863" max="15104" width="9" style="164"/>
    <col min="15105" max="15105" width="9" style="164" hidden="1" customWidth="1"/>
    <col min="15106" max="15106" width="42.5833333333333" style="164" customWidth="1"/>
    <col min="15107" max="15107" width="11.8333333333333" style="164" customWidth="1"/>
    <col min="15108" max="15109" width="12.5" style="164" customWidth="1"/>
    <col min="15110" max="15110" width="13.8333333333333" style="164" customWidth="1"/>
    <col min="15111" max="15111" width="10.8333333333333" style="164" customWidth="1"/>
    <col min="15112" max="15112" width="11.8333333333333" style="164" customWidth="1"/>
    <col min="15113" max="15113" width="11.0833333333333" style="164" customWidth="1"/>
    <col min="15114" max="15114" width="11.3333333333333" style="164" customWidth="1"/>
    <col min="15115" max="15115" width="10" style="164" customWidth="1"/>
    <col min="15116" max="15116" width="9" style="164"/>
    <col min="15117" max="15117" width="22.5833333333333" style="164" customWidth="1"/>
    <col min="15118" max="15118" width="37.0833333333333" style="164" customWidth="1"/>
    <col min="15119" max="15360" width="9" style="164"/>
    <col min="15361" max="15361" width="9" style="164" hidden="1" customWidth="1"/>
    <col min="15362" max="15362" width="42.5833333333333" style="164" customWidth="1"/>
    <col min="15363" max="15363" width="11.8333333333333" style="164" customWidth="1"/>
    <col min="15364" max="15365" width="12.5" style="164" customWidth="1"/>
    <col min="15366" max="15366" width="13.8333333333333" style="164" customWidth="1"/>
    <col min="15367" max="15367" width="10.8333333333333" style="164" customWidth="1"/>
    <col min="15368" max="15368" width="11.8333333333333" style="164" customWidth="1"/>
    <col min="15369" max="15369" width="11.0833333333333" style="164" customWidth="1"/>
    <col min="15370" max="15370" width="11.3333333333333" style="164" customWidth="1"/>
    <col min="15371" max="15371" width="10" style="164" customWidth="1"/>
    <col min="15372" max="15372" width="9" style="164"/>
    <col min="15373" max="15373" width="22.5833333333333" style="164" customWidth="1"/>
    <col min="15374" max="15374" width="37.0833333333333" style="164" customWidth="1"/>
    <col min="15375" max="15616" width="9" style="164"/>
    <col min="15617" max="15617" width="9" style="164" hidden="1" customWidth="1"/>
    <col min="15618" max="15618" width="42.5833333333333" style="164" customWidth="1"/>
    <col min="15619" max="15619" width="11.8333333333333" style="164" customWidth="1"/>
    <col min="15620" max="15621" width="12.5" style="164" customWidth="1"/>
    <col min="15622" max="15622" width="13.8333333333333" style="164" customWidth="1"/>
    <col min="15623" max="15623" width="10.8333333333333" style="164" customWidth="1"/>
    <col min="15624" max="15624" width="11.8333333333333" style="164" customWidth="1"/>
    <col min="15625" max="15625" width="11.0833333333333" style="164" customWidth="1"/>
    <col min="15626" max="15626" width="11.3333333333333" style="164" customWidth="1"/>
    <col min="15627" max="15627" width="10" style="164" customWidth="1"/>
    <col min="15628" max="15628" width="9" style="164"/>
    <col min="15629" max="15629" width="22.5833333333333" style="164" customWidth="1"/>
    <col min="15630" max="15630" width="37.0833333333333" style="164" customWidth="1"/>
    <col min="15631" max="15872" width="9" style="164"/>
    <col min="15873" max="15873" width="9" style="164" hidden="1" customWidth="1"/>
    <col min="15874" max="15874" width="42.5833333333333" style="164" customWidth="1"/>
    <col min="15875" max="15875" width="11.8333333333333" style="164" customWidth="1"/>
    <col min="15876" max="15877" width="12.5" style="164" customWidth="1"/>
    <col min="15878" max="15878" width="13.8333333333333" style="164" customWidth="1"/>
    <col min="15879" max="15879" width="10.8333333333333" style="164" customWidth="1"/>
    <col min="15880" max="15880" width="11.8333333333333" style="164" customWidth="1"/>
    <col min="15881" max="15881" width="11.0833333333333" style="164" customWidth="1"/>
    <col min="15882" max="15882" width="11.3333333333333" style="164" customWidth="1"/>
    <col min="15883" max="15883" width="10" style="164" customWidth="1"/>
    <col min="15884" max="15884" width="9" style="164"/>
    <col min="15885" max="15885" width="22.5833333333333" style="164" customWidth="1"/>
    <col min="15886" max="15886" width="37.0833333333333" style="164" customWidth="1"/>
    <col min="15887" max="16128" width="9" style="164"/>
    <col min="16129" max="16129" width="9" style="164" hidden="1" customWidth="1"/>
    <col min="16130" max="16130" width="42.5833333333333" style="164" customWidth="1"/>
    <col min="16131" max="16131" width="11.8333333333333" style="164" customWidth="1"/>
    <col min="16132" max="16133" width="12.5" style="164" customWidth="1"/>
    <col min="16134" max="16134" width="13.8333333333333" style="164" customWidth="1"/>
    <col min="16135" max="16135" width="10.8333333333333" style="164" customWidth="1"/>
    <col min="16136" max="16136" width="11.8333333333333" style="164" customWidth="1"/>
    <col min="16137" max="16137" width="11.0833333333333" style="164" customWidth="1"/>
    <col min="16138" max="16138" width="11.3333333333333" style="164" customWidth="1"/>
    <col min="16139" max="16139" width="10" style="164" customWidth="1"/>
    <col min="16140" max="16140" width="9" style="164"/>
    <col min="16141" max="16141" width="22.5833333333333" style="164" customWidth="1"/>
    <col min="16142" max="16142" width="37.0833333333333" style="164" customWidth="1"/>
    <col min="16143" max="16384" width="9" style="164"/>
  </cols>
  <sheetData>
    <row r="1" ht="26.25" customHeight="1" spans="2:11">
      <c r="B1" s="122" t="s">
        <v>1556</v>
      </c>
      <c r="C1" s="168"/>
      <c r="D1" s="169"/>
      <c r="E1" s="165"/>
      <c r="I1" s="168"/>
      <c r="K1" s="165"/>
    </row>
    <row r="2" ht="34.5" customHeight="1" spans="2:12">
      <c r="B2" s="170" t="s">
        <v>1557</v>
      </c>
      <c r="C2" s="170"/>
      <c r="D2" s="170"/>
      <c r="E2" s="170"/>
      <c r="F2" s="170"/>
      <c r="G2" s="170"/>
      <c r="H2" s="170"/>
      <c r="I2" s="170"/>
      <c r="J2" s="170"/>
      <c r="K2" s="170"/>
      <c r="L2" s="188"/>
    </row>
    <row r="3" ht="17.25" customHeight="1" spans="2:12">
      <c r="B3" s="171" t="s">
        <v>1055</v>
      </c>
      <c r="C3" s="171"/>
      <c r="D3" s="171"/>
      <c r="E3" s="171"/>
      <c r="F3" s="171"/>
      <c r="G3" s="171"/>
      <c r="H3" s="171"/>
      <c r="I3" s="171"/>
      <c r="J3" s="171"/>
      <c r="K3" s="171"/>
      <c r="L3" s="188"/>
    </row>
    <row r="4" ht="21" customHeight="1" spans="1:12">
      <c r="A4" s="172" t="s">
        <v>1501</v>
      </c>
      <c r="B4" s="148" t="s">
        <v>1502</v>
      </c>
      <c r="C4" s="126" t="s">
        <v>1197</v>
      </c>
      <c r="D4" s="127"/>
      <c r="E4" s="127"/>
      <c r="F4" s="127"/>
      <c r="G4" s="127"/>
      <c r="H4" s="147"/>
      <c r="I4" s="148" t="s">
        <v>36</v>
      </c>
      <c r="J4" s="148"/>
      <c r="K4" s="148"/>
      <c r="L4" s="189"/>
    </row>
    <row r="5" ht="21" customHeight="1" spans="1:12">
      <c r="A5" s="172"/>
      <c r="B5" s="148"/>
      <c r="C5" s="148" t="s">
        <v>1503</v>
      </c>
      <c r="D5" s="173" t="s">
        <v>38</v>
      </c>
      <c r="E5" s="149" t="s">
        <v>39</v>
      </c>
      <c r="F5" s="185" t="s">
        <v>1504</v>
      </c>
      <c r="G5" s="150" t="s">
        <v>1200</v>
      </c>
      <c r="H5" s="150"/>
      <c r="I5" s="190" t="s">
        <v>42</v>
      </c>
      <c r="J5" s="157" t="s">
        <v>43</v>
      </c>
      <c r="K5" s="157"/>
      <c r="L5" s="189"/>
    </row>
    <row r="6" ht="21" customHeight="1" spans="1:12">
      <c r="A6" s="172"/>
      <c r="B6" s="148"/>
      <c r="C6" s="148"/>
      <c r="D6" s="174"/>
      <c r="E6" s="152"/>
      <c r="F6" s="186"/>
      <c r="G6" s="150" t="s">
        <v>44</v>
      </c>
      <c r="H6" s="150" t="s">
        <v>45</v>
      </c>
      <c r="I6" s="191"/>
      <c r="J6" s="158" t="s">
        <v>44</v>
      </c>
      <c r="K6" s="158" t="s">
        <v>45</v>
      </c>
      <c r="L6" s="189"/>
    </row>
    <row r="7" s="117" customFormat="1" ht="20.25" customHeight="1" spans="1:12">
      <c r="A7" s="175">
        <v>1030601</v>
      </c>
      <c r="B7" s="176" t="s">
        <v>1505</v>
      </c>
      <c r="C7" s="138">
        <f t="shared" ref="C7:F7" si="0">SUM(C8:C38)</f>
        <v>2002</v>
      </c>
      <c r="D7" s="138">
        <f t="shared" si="0"/>
        <v>2107</v>
      </c>
      <c r="E7" s="136">
        <f>D7/C7*100</f>
        <v>105.244755244755</v>
      </c>
      <c r="F7" s="138">
        <f t="shared" si="0"/>
        <v>1555</v>
      </c>
      <c r="G7" s="138">
        <f>D7-F7</f>
        <v>552</v>
      </c>
      <c r="H7" s="136">
        <f>G7/F7*100</f>
        <v>35.4983922829582</v>
      </c>
      <c r="I7" s="138">
        <f>SUM(I8:I38)</f>
        <v>2002</v>
      </c>
      <c r="J7" s="138">
        <f t="shared" ref="J7:J55" si="1">I7-D7</f>
        <v>-105</v>
      </c>
      <c r="K7" s="136">
        <f>J7/D7*100</f>
        <v>-4.98338870431894</v>
      </c>
      <c r="L7" s="189"/>
    </row>
    <row r="8" s="117" customFormat="1" ht="17.25" customHeight="1" spans="1:12">
      <c r="A8" s="177">
        <v>103060103</v>
      </c>
      <c r="B8" s="178" t="s">
        <v>1506</v>
      </c>
      <c r="C8" s="138"/>
      <c r="D8" s="179"/>
      <c r="E8" s="136"/>
      <c r="F8" s="138"/>
      <c r="G8" s="138"/>
      <c r="H8" s="136"/>
      <c r="I8" s="138"/>
      <c r="J8" s="138">
        <f t="shared" si="1"/>
        <v>0</v>
      </c>
      <c r="K8" s="136"/>
      <c r="L8" s="189"/>
    </row>
    <row r="9" s="117" customFormat="1" ht="17.25" customHeight="1" spans="1:12">
      <c r="A9" s="177">
        <v>103060104</v>
      </c>
      <c r="B9" s="178" t="s">
        <v>1507</v>
      </c>
      <c r="C9" s="138"/>
      <c r="D9" s="179"/>
      <c r="E9" s="136"/>
      <c r="F9" s="138"/>
      <c r="G9" s="138"/>
      <c r="H9" s="136"/>
      <c r="I9" s="138"/>
      <c r="J9" s="138">
        <f t="shared" si="1"/>
        <v>0</v>
      </c>
      <c r="K9" s="136"/>
      <c r="L9" s="189"/>
    </row>
    <row r="10" s="117" customFormat="1" ht="17.25" customHeight="1" spans="1:12">
      <c r="A10" s="177">
        <v>103060105</v>
      </c>
      <c r="B10" s="178" t="s">
        <v>1508</v>
      </c>
      <c r="C10" s="138"/>
      <c r="D10" s="179"/>
      <c r="E10" s="136"/>
      <c r="F10" s="138"/>
      <c r="G10" s="138"/>
      <c r="H10" s="136"/>
      <c r="I10" s="138"/>
      <c r="J10" s="138">
        <f t="shared" si="1"/>
        <v>0</v>
      </c>
      <c r="K10" s="136"/>
      <c r="L10" s="189"/>
    </row>
    <row r="11" s="117" customFormat="1" ht="17.25" customHeight="1" spans="1:12">
      <c r="A11" s="177">
        <v>103060106</v>
      </c>
      <c r="B11" s="178" t="s">
        <v>1509</v>
      </c>
      <c r="C11" s="138"/>
      <c r="D11" s="179"/>
      <c r="E11" s="136"/>
      <c r="F11" s="138"/>
      <c r="G11" s="138"/>
      <c r="H11" s="136"/>
      <c r="I11" s="138"/>
      <c r="J11" s="138">
        <f t="shared" si="1"/>
        <v>0</v>
      </c>
      <c r="K11" s="136"/>
      <c r="L11" s="189"/>
    </row>
    <row r="12" s="117" customFormat="1" ht="17.25" customHeight="1" spans="1:12">
      <c r="A12" s="177">
        <v>103060107</v>
      </c>
      <c r="B12" s="178" t="s">
        <v>1510</v>
      </c>
      <c r="C12" s="138"/>
      <c r="D12" s="179"/>
      <c r="E12" s="136"/>
      <c r="F12" s="138"/>
      <c r="G12" s="138"/>
      <c r="H12" s="136"/>
      <c r="I12" s="138"/>
      <c r="J12" s="138">
        <f t="shared" si="1"/>
        <v>0</v>
      </c>
      <c r="K12" s="136"/>
      <c r="L12" s="189"/>
    </row>
    <row r="13" s="117" customFormat="1" ht="17.25" customHeight="1" spans="1:12">
      <c r="A13" s="177">
        <v>103060108</v>
      </c>
      <c r="B13" s="178" t="s">
        <v>1511</v>
      </c>
      <c r="C13" s="138"/>
      <c r="D13" s="179"/>
      <c r="E13" s="136"/>
      <c r="F13" s="138"/>
      <c r="G13" s="138"/>
      <c r="H13" s="136"/>
      <c r="I13" s="138"/>
      <c r="J13" s="138">
        <f t="shared" si="1"/>
        <v>0</v>
      </c>
      <c r="K13" s="136"/>
      <c r="L13" s="189"/>
    </row>
    <row r="14" s="117" customFormat="1" ht="17.25" customHeight="1" spans="1:12">
      <c r="A14" s="177">
        <v>103060109</v>
      </c>
      <c r="B14" s="178" t="s">
        <v>1512</v>
      </c>
      <c r="C14" s="138"/>
      <c r="D14" s="179"/>
      <c r="E14" s="136"/>
      <c r="F14" s="138"/>
      <c r="G14" s="138"/>
      <c r="H14" s="136"/>
      <c r="I14" s="138"/>
      <c r="J14" s="138">
        <f t="shared" si="1"/>
        <v>0</v>
      </c>
      <c r="K14" s="136"/>
      <c r="L14" s="189"/>
    </row>
    <row r="15" s="117" customFormat="1" ht="17.25" customHeight="1" spans="1:12">
      <c r="A15" s="177">
        <v>103060112</v>
      </c>
      <c r="B15" s="178" t="s">
        <v>1513</v>
      </c>
      <c r="C15" s="138"/>
      <c r="D15" s="179"/>
      <c r="E15" s="136"/>
      <c r="F15" s="138"/>
      <c r="G15" s="138"/>
      <c r="H15" s="136"/>
      <c r="I15" s="138"/>
      <c r="J15" s="138">
        <f t="shared" si="1"/>
        <v>0</v>
      </c>
      <c r="K15" s="136"/>
      <c r="L15" s="189"/>
    </row>
    <row r="16" ht="17.25" customHeight="1" spans="1:12">
      <c r="A16" s="177">
        <v>103060113</v>
      </c>
      <c r="B16" s="178" t="s">
        <v>1514</v>
      </c>
      <c r="C16" s="138"/>
      <c r="D16" s="179"/>
      <c r="E16" s="136"/>
      <c r="F16" s="138"/>
      <c r="G16" s="138"/>
      <c r="H16" s="136"/>
      <c r="I16" s="138"/>
      <c r="J16" s="138">
        <f t="shared" si="1"/>
        <v>0</v>
      </c>
      <c r="K16" s="136"/>
      <c r="L16" s="192"/>
    </row>
    <row r="17" ht="17.25" customHeight="1" spans="1:12">
      <c r="A17" s="177">
        <v>103060114</v>
      </c>
      <c r="B17" s="178" t="s">
        <v>1515</v>
      </c>
      <c r="C17" s="138"/>
      <c r="D17" s="179"/>
      <c r="E17" s="136"/>
      <c r="F17" s="138"/>
      <c r="G17" s="138"/>
      <c r="H17" s="136"/>
      <c r="I17" s="138"/>
      <c r="J17" s="138">
        <f t="shared" si="1"/>
        <v>0</v>
      </c>
      <c r="K17" s="136"/>
      <c r="L17" s="192"/>
    </row>
    <row r="18" ht="17.25" customHeight="1" spans="1:12">
      <c r="A18" s="177">
        <v>103060115</v>
      </c>
      <c r="B18" s="178" t="s">
        <v>1516</v>
      </c>
      <c r="C18" s="138"/>
      <c r="D18" s="179"/>
      <c r="E18" s="136"/>
      <c r="F18" s="138"/>
      <c r="G18" s="138"/>
      <c r="H18" s="136"/>
      <c r="I18" s="138"/>
      <c r="J18" s="138">
        <f t="shared" si="1"/>
        <v>0</v>
      </c>
      <c r="K18" s="136"/>
      <c r="L18" s="192"/>
    </row>
    <row r="19" ht="17.25" customHeight="1" spans="1:12">
      <c r="A19" s="177">
        <v>103060116</v>
      </c>
      <c r="B19" s="178" t="s">
        <v>1517</v>
      </c>
      <c r="C19" s="138"/>
      <c r="D19" s="179"/>
      <c r="E19" s="136"/>
      <c r="F19" s="138"/>
      <c r="G19" s="138"/>
      <c r="H19" s="136"/>
      <c r="I19" s="138"/>
      <c r="J19" s="138">
        <f t="shared" si="1"/>
        <v>0</v>
      </c>
      <c r="K19" s="136"/>
      <c r="L19" s="192"/>
    </row>
    <row r="20" ht="17.25" customHeight="1" spans="1:12">
      <c r="A20" s="177">
        <v>103060117</v>
      </c>
      <c r="B20" s="178" t="s">
        <v>1518</v>
      </c>
      <c r="C20" s="138"/>
      <c r="D20" s="179"/>
      <c r="E20" s="136"/>
      <c r="F20" s="138"/>
      <c r="G20" s="138"/>
      <c r="H20" s="136"/>
      <c r="I20" s="138"/>
      <c r="J20" s="138">
        <f t="shared" si="1"/>
        <v>0</v>
      </c>
      <c r="K20" s="136"/>
      <c r="L20" s="192"/>
    </row>
    <row r="21" ht="17.25" customHeight="1" spans="1:12">
      <c r="A21" s="177">
        <v>103060118</v>
      </c>
      <c r="B21" s="178" t="s">
        <v>1519</v>
      </c>
      <c r="C21" s="138"/>
      <c r="D21" s="179"/>
      <c r="E21" s="136"/>
      <c r="F21" s="138"/>
      <c r="G21" s="138"/>
      <c r="H21" s="136"/>
      <c r="I21" s="138"/>
      <c r="J21" s="138">
        <f t="shared" si="1"/>
        <v>0</v>
      </c>
      <c r="K21" s="136"/>
      <c r="L21" s="192"/>
    </row>
    <row r="22" ht="17.25" customHeight="1" spans="1:12">
      <c r="A22" s="177">
        <v>103060119</v>
      </c>
      <c r="B22" s="178" t="s">
        <v>1520</v>
      </c>
      <c r="C22" s="138"/>
      <c r="D22" s="179"/>
      <c r="E22" s="136"/>
      <c r="F22" s="138"/>
      <c r="G22" s="138"/>
      <c r="H22" s="136"/>
      <c r="I22" s="138"/>
      <c r="J22" s="138">
        <f t="shared" si="1"/>
        <v>0</v>
      </c>
      <c r="K22" s="136"/>
      <c r="L22" s="192"/>
    </row>
    <row r="23" ht="17.25" customHeight="1" spans="1:12">
      <c r="A23" s="177">
        <v>103060120</v>
      </c>
      <c r="B23" s="178" t="s">
        <v>1521</v>
      </c>
      <c r="C23" s="138"/>
      <c r="D23" s="179"/>
      <c r="E23" s="136"/>
      <c r="F23" s="138"/>
      <c r="G23" s="138"/>
      <c r="H23" s="136"/>
      <c r="I23" s="138"/>
      <c r="J23" s="138">
        <f t="shared" si="1"/>
        <v>0</v>
      </c>
      <c r="K23" s="136"/>
      <c r="L23" s="192"/>
    </row>
    <row r="24" ht="17.25" customHeight="1" spans="1:12">
      <c r="A24" s="177">
        <v>103060121</v>
      </c>
      <c r="B24" s="178" t="s">
        <v>1522</v>
      </c>
      <c r="C24" s="138"/>
      <c r="D24" s="179"/>
      <c r="E24" s="136"/>
      <c r="F24" s="138"/>
      <c r="G24" s="138"/>
      <c r="H24" s="136"/>
      <c r="I24" s="138"/>
      <c r="J24" s="138">
        <f t="shared" si="1"/>
        <v>0</v>
      </c>
      <c r="K24" s="136"/>
      <c r="L24" s="192"/>
    </row>
    <row r="25" ht="17.25" customHeight="1" spans="1:12">
      <c r="A25" s="177">
        <v>103060122</v>
      </c>
      <c r="B25" s="178" t="s">
        <v>1523</v>
      </c>
      <c r="C25" s="138"/>
      <c r="D25" s="179"/>
      <c r="E25" s="136"/>
      <c r="F25" s="138"/>
      <c r="G25" s="138"/>
      <c r="H25" s="136"/>
      <c r="I25" s="138"/>
      <c r="J25" s="138">
        <f t="shared" si="1"/>
        <v>0</v>
      </c>
      <c r="K25" s="136"/>
      <c r="L25" s="192"/>
    </row>
    <row r="26" ht="17.25" customHeight="1" spans="1:12">
      <c r="A26" s="177">
        <v>103060123</v>
      </c>
      <c r="B26" s="178" t="s">
        <v>1524</v>
      </c>
      <c r="C26" s="138"/>
      <c r="D26" s="179"/>
      <c r="E26" s="136"/>
      <c r="F26" s="138"/>
      <c r="G26" s="138"/>
      <c r="H26" s="136"/>
      <c r="I26" s="138"/>
      <c r="J26" s="138">
        <f t="shared" si="1"/>
        <v>0</v>
      </c>
      <c r="K26" s="136"/>
      <c r="L26" s="192"/>
    </row>
    <row r="27" ht="17.25" customHeight="1" spans="1:12">
      <c r="A27" s="177">
        <v>103060124</v>
      </c>
      <c r="B27" s="178" t="s">
        <v>1525</v>
      </c>
      <c r="C27" s="138"/>
      <c r="D27" s="179"/>
      <c r="E27" s="136"/>
      <c r="F27" s="138"/>
      <c r="G27" s="138"/>
      <c r="H27" s="136"/>
      <c r="I27" s="138"/>
      <c r="J27" s="138">
        <f t="shared" si="1"/>
        <v>0</v>
      </c>
      <c r="K27" s="136"/>
      <c r="L27" s="192"/>
    </row>
    <row r="28" ht="17.25" customHeight="1" spans="1:12">
      <c r="A28" s="177">
        <v>103060125</v>
      </c>
      <c r="B28" s="178" t="s">
        <v>1526</v>
      </c>
      <c r="C28" s="138"/>
      <c r="D28" s="179"/>
      <c r="E28" s="136"/>
      <c r="F28" s="138"/>
      <c r="G28" s="138"/>
      <c r="H28" s="136"/>
      <c r="I28" s="138"/>
      <c r="J28" s="138">
        <f t="shared" si="1"/>
        <v>0</v>
      </c>
      <c r="K28" s="136"/>
      <c r="L28" s="192"/>
    </row>
    <row r="29" ht="17.25" customHeight="1" spans="1:12">
      <c r="A29" s="177">
        <v>103060126</v>
      </c>
      <c r="B29" s="178" t="s">
        <v>1527</v>
      </c>
      <c r="C29" s="138"/>
      <c r="D29" s="179"/>
      <c r="E29" s="136"/>
      <c r="F29" s="138"/>
      <c r="G29" s="138"/>
      <c r="H29" s="136"/>
      <c r="I29" s="138"/>
      <c r="J29" s="138">
        <f t="shared" si="1"/>
        <v>0</v>
      </c>
      <c r="K29" s="136"/>
      <c r="L29" s="192"/>
    </row>
    <row r="30" ht="17.25" customHeight="1" spans="1:12">
      <c r="A30" s="177">
        <v>103060127</v>
      </c>
      <c r="B30" s="178" t="s">
        <v>1528</v>
      </c>
      <c r="C30" s="138"/>
      <c r="D30" s="179"/>
      <c r="E30" s="136"/>
      <c r="F30" s="138"/>
      <c r="G30" s="138"/>
      <c r="H30" s="136"/>
      <c r="I30" s="138"/>
      <c r="J30" s="138">
        <f t="shared" si="1"/>
        <v>0</v>
      </c>
      <c r="K30" s="136"/>
      <c r="L30" s="192"/>
    </row>
    <row r="31" ht="17.25" customHeight="1" spans="1:12">
      <c r="A31" s="177">
        <v>103060128</v>
      </c>
      <c r="B31" s="178" t="s">
        <v>1529</v>
      </c>
      <c r="C31" s="138"/>
      <c r="D31" s="179"/>
      <c r="E31" s="136"/>
      <c r="F31" s="138"/>
      <c r="G31" s="138"/>
      <c r="H31" s="136"/>
      <c r="I31" s="138"/>
      <c r="J31" s="138">
        <f t="shared" si="1"/>
        <v>0</v>
      </c>
      <c r="K31" s="136"/>
      <c r="L31" s="192"/>
    </row>
    <row r="32" ht="17.25" customHeight="1" spans="1:12">
      <c r="A32" s="177">
        <v>103060129</v>
      </c>
      <c r="B32" s="178" t="s">
        <v>1530</v>
      </c>
      <c r="C32" s="138"/>
      <c r="D32" s="179"/>
      <c r="E32" s="136"/>
      <c r="F32" s="138"/>
      <c r="G32" s="138"/>
      <c r="H32" s="136"/>
      <c r="I32" s="138"/>
      <c r="J32" s="138">
        <f t="shared" si="1"/>
        <v>0</v>
      </c>
      <c r="K32" s="136"/>
      <c r="L32" s="192"/>
    </row>
    <row r="33" ht="17.25" customHeight="1" spans="1:12">
      <c r="A33" s="177">
        <v>103060130</v>
      </c>
      <c r="B33" s="178" t="s">
        <v>1531</v>
      </c>
      <c r="C33" s="138"/>
      <c r="D33" s="179"/>
      <c r="E33" s="136"/>
      <c r="F33" s="138"/>
      <c r="G33" s="138"/>
      <c r="H33" s="136"/>
      <c r="I33" s="138"/>
      <c r="J33" s="138">
        <f t="shared" si="1"/>
        <v>0</v>
      </c>
      <c r="K33" s="136"/>
      <c r="L33" s="192"/>
    </row>
    <row r="34" ht="17.25" customHeight="1" spans="1:12">
      <c r="A34" s="177">
        <v>103060131</v>
      </c>
      <c r="B34" s="178" t="s">
        <v>1532</v>
      </c>
      <c r="C34" s="138"/>
      <c r="D34" s="179"/>
      <c r="E34" s="136"/>
      <c r="F34" s="138"/>
      <c r="G34" s="138"/>
      <c r="H34" s="136"/>
      <c r="I34" s="138"/>
      <c r="J34" s="138">
        <f t="shared" si="1"/>
        <v>0</v>
      </c>
      <c r="K34" s="136"/>
      <c r="L34" s="193"/>
    </row>
    <row r="35" ht="17.25" customHeight="1" spans="1:12">
      <c r="A35" s="177">
        <v>103060132</v>
      </c>
      <c r="B35" s="178" t="s">
        <v>1533</v>
      </c>
      <c r="C35" s="138"/>
      <c r="D35" s="179"/>
      <c r="E35" s="136"/>
      <c r="F35" s="138"/>
      <c r="G35" s="138"/>
      <c r="H35" s="136"/>
      <c r="I35" s="138"/>
      <c r="J35" s="138">
        <f t="shared" si="1"/>
        <v>0</v>
      </c>
      <c r="K35" s="136"/>
      <c r="L35" s="193"/>
    </row>
    <row r="36" ht="17.25" customHeight="1" spans="1:12">
      <c r="A36" s="177">
        <v>103060133</v>
      </c>
      <c r="B36" s="178" t="s">
        <v>1534</v>
      </c>
      <c r="C36" s="138"/>
      <c r="D36" s="179"/>
      <c r="E36" s="136"/>
      <c r="F36" s="138"/>
      <c r="G36" s="138"/>
      <c r="H36" s="136"/>
      <c r="I36" s="138"/>
      <c r="J36" s="138">
        <f t="shared" si="1"/>
        <v>0</v>
      </c>
      <c r="K36" s="136"/>
      <c r="L36" s="193"/>
    </row>
    <row r="37" ht="17.25" customHeight="1" spans="1:12">
      <c r="A37" s="177">
        <v>103060134</v>
      </c>
      <c r="B37" s="178" t="s">
        <v>1535</v>
      </c>
      <c r="C37" s="138"/>
      <c r="D37" s="179"/>
      <c r="E37" s="136"/>
      <c r="F37" s="138"/>
      <c r="G37" s="138"/>
      <c r="H37" s="136"/>
      <c r="I37" s="138"/>
      <c r="J37" s="138">
        <f t="shared" si="1"/>
        <v>0</v>
      </c>
      <c r="K37" s="136"/>
      <c r="L37" s="193"/>
    </row>
    <row r="38" ht="17.25" customHeight="1" spans="1:12">
      <c r="A38" s="177">
        <v>103060198</v>
      </c>
      <c r="B38" s="178" t="s">
        <v>1536</v>
      </c>
      <c r="C38" s="138">
        <v>2002</v>
      </c>
      <c r="D38" s="179">
        <v>2107</v>
      </c>
      <c r="E38" s="136">
        <f>D38/C38*100</f>
        <v>105.244755244755</v>
      </c>
      <c r="F38" s="138">
        <v>1555</v>
      </c>
      <c r="G38" s="138">
        <f>D38-F38</f>
        <v>552</v>
      </c>
      <c r="H38" s="136">
        <f>G38/F38*100</f>
        <v>35.4983922829582</v>
      </c>
      <c r="I38" s="138">
        <v>2002</v>
      </c>
      <c r="J38" s="138">
        <f t="shared" si="1"/>
        <v>-105</v>
      </c>
      <c r="K38" s="136">
        <f>J38/D38*100</f>
        <v>-4.98338870431894</v>
      </c>
      <c r="L38" s="193"/>
    </row>
    <row r="39" s="117" customFormat="1" ht="17.25" customHeight="1" spans="1:12">
      <c r="A39" s="175">
        <v>1030602</v>
      </c>
      <c r="B39" s="176" t="s">
        <v>1537</v>
      </c>
      <c r="C39" s="138"/>
      <c r="D39" s="138"/>
      <c r="E39" s="136"/>
      <c r="F39" s="138">
        <f>SUM(F40:F43)</f>
        <v>0</v>
      </c>
      <c r="G39" s="138">
        <f>D39-F39</f>
        <v>0</v>
      </c>
      <c r="H39" s="136"/>
      <c r="I39" s="138"/>
      <c r="J39" s="138">
        <f t="shared" si="1"/>
        <v>0</v>
      </c>
      <c r="K39" s="136"/>
      <c r="L39" s="194"/>
    </row>
    <row r="40" ht="17.25" customHeight="1" spans="1:12">
      <c r="A40" s="177">
        <v>103060202</v>
      </c>
      <c r="B40" s="178" t="s">
        <v>1538</v>
      </c>
      <c r="C40" s="138"/>
      <c r="D40" s="179"/>
      <c r="E40" s="136"/>
      <c r="F40" s="138"/>
      <c r="G40" s="138"/>
      <c r="H40" s="136"/>
      <c r="I40" s="138"/>
      <c r="J40" s="138">
        <f t="shared" si="1"/>
        <v>0</v>
      </c>
      <c r="K40" s="136"/>
      <c r="L40" s="193"/>
    </row>
    <row r="41" ht="17.25" customHeight="1" spans="1:12">
      <c r="A41" s="177">
        <v>103060203</v>
      </c>
      <c r="B41" s="178" t="s">
        <v>1539</v>
      </c>
      <c r="C41" s="138"/>
      <c r="D41" s="179"/>
      <c r="E41" s="136"/>
      <c r="F41" s="138"/>
      <c r="G41" s="138"/>
      <c r="H41" s="136"/>
      <c r="I41" s="138"/>
      <c r="J41" s="138">
        <f t="shared" si="1"/>
        <v>0</v>
      </c>
      <c r="K41" s="136"/>
      <c r="L41" s="193"/>
    </row>
    <row r="42" ht="17.25" customHeight="1" spans="1:12">
      <c r="A42" s="177">
        <v>103060204</v>
      </c>
      <c r="B42" s="178" t="s">
        <v>1540</v>
      </c>
      <c r="C42" s="138"/>
      <c r="D42" s="179"/>
      <c r="E42" s="136"/>
      <c r="F42" s="138"/>
      <c r="G42" s="138"/>
      <c r="H42" s="136"/>
      <c r="I42" s="138"/>
      <c r="J42" s="138">
        <f t="shared" si="1"/>
        <v>0</v>
      </c>
      <c r="K42" s="136"/>
      <c r="L42" s="193"/>
    </row>
    <row r="43" ht="17.25" customHeight="1" spans="1:12">
      <c r="A43" s="177">
        <v>103060298</v>
      </c>
      <c r="B43" s="178" t="s">
        <v>1541</v>
      </c>
      <c r="C43" s="138"/>
      <c r="D43" s="179"/>
      <c r="E43" s="136"/>
      <c r="F43" s="138"/>
      <c r="G43" s="138"/>
      <c r="H43" s="136"/>
      <c r="I43" s="138"/>
      <c r="J43" s="138">
        <f t="shared" si="1"/>
        <v>0</v>
      </c>
      <c r="K43" s="136"/>
      <c r="L43" s="193"/>
    </row>
    <row r="44" s="117" customFormat="1" ht="17.25" customHeight="1" spans="1:12">
      <c r="A44" s="175">
        <v>1030603</v>
      </c>
      <c r="B44" s="176" t="s">
        <v>1542</v>
      </c>
      <c r="C44" s="138">
        <f>SUM(C45:C49)</f>
        <v>2976</v>
      </c>
      <c r="D44" s="138">
        <f>SUM(D45:D49)</f>
        <v>2648</v>
      </c>
      <c r="E44" s="136">
        <f>D44/C44*100</f>
        <v>88.9784946236559</v>
      </c>
      <c r="F44" s="138">
        <f>SUM(F45:F49)</f>
        <v>0</v>
      </c>
      <c r="G44" s="138">
        <f>D44-F44</f>
        <v>2648</v>
      </c>
      <c r="H44" s="136"/>
      <c r="I44" s="138">
        <f>SUM(I45:I49)</f>
        <v>2753</v>
      </c>
      <c r="J44" s="138">
        <f t="shared" si="1"/>
        <v>105</v>
      </c>
      <c r="K44" s="136">
        <f>J44/D44*100</f>
        <v>3.96525679758308</v>
      </c>
      <c r="L44" s="194"/>
    </row>
    <row r="45" ht="17.25" customHeight="1" spans="1:12">
      <c r="A45" s="177">
        <v>103060301</v>
      </c>
      <c r="B45" s="178" t="s">
        <v>1543</v>
      </c>
      <c r="C45" s="138"/>
      <c r="D45" s="179"/>
      <c r="E45" s="136"/>
      <c r="F45" s="138"/>
      <c r="G45" s="138"/>
      <c r="H45" s="136"/>
      <c r="I45" s="138"/>
      <c r="J45" s="138">
        <f t="shared" si="1"/>
        <v>0</v>
      </c>
      <c r="K45" s="136"/>
      <c r="L45" s="193"/>
    </row>
    <row r="46" ht="17.25" customHeight="1" spans="1:12">
      <c r="A46" s="177">
        <v>103060304</v>
      </c>
      <c r="B46" s="178" t="s">
        <v>1544</v>
      </c>
      <c r="C46" s="138">
        <v>2976</v>
      </c>
      <c r="D46" s="179">
        <v>2648</v>
      </c>
      <c r="E46" s="136">
        <f>D46/C46*100</f>
        <v>88.9784946236559</v>
      </c>
      <c r="F46" s="138"/>
      <c r="G46" s="138">
        <f>D46-F46</f>
        <v>2648</v>
      </c>
      <c r="H46" s="136"/>
      <c r="I46" s="138">
        <v>2753</v>
      </c>
      <c r="J46" s="138">
        <f t="shared" si="1"/>
        <v>105</v>
      </c>
      <c r="K46" s="136">
        <f>J46/D46*100</f>
        <v>3.96525679758308</v>
      </c>
      <c r="L46" s="193"/>
    </row>
    <row r="47" ht="17.25" customHeight="1" spans="1:12">
      <c r="A47" s="177">
        <v>103060305</v>
      </c>
      <c r="B47" s="178" t="s">
        <v>1545</v>
      </c>
      <c r="C47" s="138"/>
      <c r="D47" s="179"/>
      <c r="E47" s="136"/>
      <c r="F47" s="138"/>
      <c r="G47" s="138"/>
      <c r="H47" s="136"/>
      <c r="I47" s="138"/>
      <c r="J47" s="138">
        <f t="shared" si="1"/>
        <v>0</v>
      </c>
      <c r="K47" s="136"/>
      <c r="L47" s="193"/>
    </row>
    <row r="48" ht="17.25" customHeight="1" spans="1:12">
      <c r="A48" s="177">
        <v>103060307</v>
      </c>
      <c r="B48" s="178" t="s">
        <v>1546</v>
      </c>
      <c r="C48" s="138"/>
      <c r="D48" s="179"/>
      <c r="E48" s="136"/>
      <c r="F48" s="138"/>
      <c r="G48" s="138"/>
      <c r="H48" s="136"/>
      <c r="I48" s="138"/>
      <c r="J48" s="138">
        <f t="shared" si="1"/>
        <v>0</v>
      </c>
      <c r="K48" s="136"/>
      <c r="L48" s="193"/>
    </row>
    <row r="49" ht="17.25" customHeight="1" spans="1:12">
      <c r="A49" s="177">
        <v>103060398</v>
      </c>
      <c r="B49" s="178" t="s">
        <v>1547</v>
      </c>
      <c r="C49" s="138"/>
      <c r="D49" s="179"/>
      <c r="E49" s="136"/>
      <c r="F49" s="138"/>
      <c r="G49" s="138"/>
      <c r="H49" s="136"/>
      <c r="I49" s="138"/>
      <c r="J49" s="138">
        <f t="shared" si="1"/>
        <v>0</v>
      </c>
      <c r="K49" s="136"/>
      <c r="L49" s="193"/>
    </row>
    <row r="50" s="117" customFormat="1" ht="17.25" customHeight="1" spans="1:12">
      <c r="A50" s="175">
        <v>1030604</v>
      </c>
      <c r="B50" s="176" t="s">
        <v>1548</v>
      </c>
      <c r="C50" s="138"/>
      <c r="D50" s="138"/>
      <c r="E50" s="136"/>
      <c r="F50" s="138">
        <f>SUM(F51:F53)</f>
        <v>0</v>
      </c>
      <c r="G50" s="138">
        <f t="shared" ref="G50:G55" si="2">D50-F50</f>
        <v>0</v>
      </c>
      <c r="H50" s="136"/>
      <c r="I50" s="138"/>
      <c r="J50" s="138">
        <f t="shared" si="1"/>
        <v>0</v>
      </c>
      <c r="K50" s="136"/>
      <c r="L50" s="194"/>
    </row>
    <row r="51" ht="17.25" customHeight="1" spans="1:12">
      <c r="A51" s="177">
        <v>103060401</v>
      </c>
      <c r="B51" s="178" t="s">
        <v>1549</v>
      </c>
      <c r="C51" s="138"/>
      <c r="D51" s="179"/>
      <c r="E51" s="136"/>
      <c r="F51" s="138"/>
      <c r="G51" s="138"/>
      <c r="H51" s="136"/>
      <c r="I51" s="138"/>
      <c r="J51" s="138">
        <f t="shared" si="1"/>
        <v>0</v>
      </c>
      <c r="K51" s="136"/>
      <c r="L51" s="182"/>
    </row>
    <row r="52" ht="17.25" customHeight="1" spans="1:12">
      <c r="A52" s="177">
        <v>103060402</v>
      </c>
      <c r="B52" s="178" t="s">
        <v>1550</v>
      </c>
      <c r="C52" s="138"/>
      <c r="D52" s="179"/>
      <c r="E52" s="136"/>
      <c r="F52" s="138"/>
      <c r="G52" s="138"/>
      <c r="H52" s="136"/>
      <c r="I52" s="138"/>
      <c r="J52" s="138">
        <f t="shared" si="1"/>
        <v>0</v>
      </c>
      <c r="K52" s="136"/>
      <c r="L52" s="182"/>
    </row>
    <row r="53" ht="17.25" customHeight="1" spans="1:12">
      <c r="A53" s="177">
        <v>103060498</v>
      </c>
      <c r="B53" s="178" t="s">
        <v>1551</v>
      </c>
      <c r="C53" s="138"/>
      <c r="D53" s="179"/>
      <c r="E53" s="136"/>
      <c r="F53" s="138"/>
      <c r="G53" s="138"/>
      <c r="H53" s="136"/>
      <c r="I53" s="138"/>
      <c r="J53" s="138">
        <f t="shared" si="1"/>
        <v>0</v>
      </c>
      <c r="K53" s="136"/>
      <c r="L53" s="182"/>
    </row>
    <row r="54" s="117" customFormat="1" ht="17.25" customHeight="1" spans="1:12">
      <c r="A54" s="175">
        <v>1030698</v>
      </c>
      <c r="B54" s="176" t="s">
        <v>1552</v>
      </c>
      <c r="C54" s="138"/>
      <c r="D54" s="179"/>
      <c r="E54" s="136"/>
      <c r="F54" s="138"/>
      <c r="G54" s="138">
        <f t="shared" si="2"/>
        <v>0</v>
      </c>
      <c r="H54" s="136"/>
      <c r="I54" s="138"/>
      <c r="J54" s="138">
        <f t="shared" si="1"/>
        <v>0</v>
      </c>
      <c r="K54" s="136"/>
      <c r="L54" s="156"/>
    </row>
    <row r="55" s="117" customFormat="1" ht="17.25" customHeight="1" spans="1:12">
      <c r="A55" s="175">
        <v>10306</v>
      </c>
      <c r="B55" s="176" t="s">
        <v>1553</v>
      </c>
      <c r="C55" s="138">
        <f t="shared" ref="C55:F55" si="3">C7+C39+C44+C50+C54</f>
        <v>4978</v>
      </c>
      <c r="D55" s="138">
        <f t="shared" si="3"/>
        <v>4755</v>
      </c>
      <c r="E55" s="136">
        <f>D55/C55*100</f>
        <v>95.5202892728003</v>
      </c>
      <c r="F55" s="138">
        <f t="shared" si="3"/>
        <v>1555</v>
      </c>
      <c r="G55" s="138">
        <f t="shared" si="2"/>
        <v>3200</v>
      </c>
      <c r="H55" s="136">
        <f>G55/F55*100</f>
        <v>205.787781350482</v>
      </c>
      <c r="I55" s="138">
        <f>I7+I39+I44+I50+I54</f>
        <v>4755</v>
      </c>
      <c r="J55" s="138">
        <f t="shared" si="1"/>
        <v>0</v>
      </c>
      <c r="K55" s="136">
        <f>J55/D55*100</f>
        <v>0</v>
      </c>
      <c r="L55" s="189"/>
    </row>
    <row r="56" s="117" customFormat="1" ht="17.25" customHeight="1" spans="1:12">
      <c r="A56" s="175"/>
      <c r="B56" s="176" t="s">
        <v>71</v>
      </c>
      <c r="C56" s="138">
        <f>SUM(C57:C58)</f>
        <v>0</v>
      </c>
      <c r="D56" s="138">
        <f>SUM(D57:D58)</f>
        <v>20</v>
      </c>
      <c r="E56" s="138"/>
      <c r="F56" s="138"/>
      <c r="G56" s="138"/>
      <c r="H56" s="138"/>
      <c r="I56" s="138">
        <f>SUM(I57:I58)</f>
        <v>164</v>
      </c>
      <c r="J56" s="138"/>
      <c r="K56" s="136"/>
      <c r="L56" s="189"/>
    </row>
    <row r="57" s="117" customFormat="1" ht="17.25" customHeight="1" spans="1:12">
      <c r="A57" s="175"/>
      <c r="B57" s="180" t="s">
        <v>1554</v>
      </c>
      <c r="C57" s="138"/>
      <c r="D57" s="138">
        <v>4</v>
      </c>
      <c r="E57" s="138"/>
      <c r="F57" s="138"/>
      <c r="G57" s="138"/>
      <c r="H57" s="138"/>
      <c r="I57" s="138">
        <v>144</v>
      </c>
      <c r="J57" s="138"/>
      <c r="K57" s="136"/>
      <c r="L57" s="189"/>
    </row>
    <row r="58" ht="17.25" customHeight="1" spans="1:12">
      <c r="A58" s="177"/>
      <c r="B58" s="178" t="s">
        <v>1555</v>
      </c>
      <c r="C58" s="140"/>
      <c r="D58" s="141">
        <v>16</v>
      </c>
      <c r="E58" s="154"/>
      <c r="F58" s="154"/>
      <c r="G58" s="140"/>
      <c r="H58" s="154"/>
      <c r="I58" s="140">
        <v>20</v>
      </c>
      <c r="J58" s="140"/>
      <c r="K58" s="136"/>
      <c r="L58" s="192"/>
    </row>
    <row r="59" s="117" customFormat="1" ht="17.25" customHeight="1" spans="1:12">
      <c r="A59" s="175"/>
      <c r="B59" s="181" t="s">
        <v>1238</v>
      </c>
      <c r="C59" s="138">
        <f>C55+C56</f>
        <v>4978</v>
      </c>
      <c r="D59" s="138">
        <f>D55+D56</f>
        <v>4775</v>
      </c>
      <c r="E59" s="138"/>
      <c r="F59" s="138"/>
      <c r="G59" s="138"/>
      <c r="H59" s="138"/>
      <c r="I59" s="138">
        <f>I55+I56</f>
        <v>4919</v>
      </c>
      <c r="J59" s="138"/>
      <c r="K59" s="136"/>
      <c r="L59" s="189"/>
    </row>
    <row r="60" ht="24.75" customHeight="1" spans="2:12">
      <c r="B60" s="182"/>
      <c r="C60" s="183"/>
      <c r="D60" s="184"/>
      <c r="E60" s="187"/>
      <c r="F60" s="183"/>
      <c r="G60" s="183"/>
      <c r="H60" s="183"/>
      <c r="I60" s="183"/>
      <c r="J60" s="183"/>
      <c r="K60" s="195"/>
      <c r="L60" s="192"/>
    </row>
    <row r="61" ht="19.5" customHeight="1" spans="2:12">
      <c r="B61" s="182"/>
      <c r="C61" s="183"/>
      <c r="D61" s="184"/>
      <c r="E61" s="187"/>
      <c r="F61" s="183"/>
      <c r="G61" s="183"/>
      <c r="H61" s="183"/>
      <c r="I61" s="183"/>
      <c r="J61" s="183"/>
      <c r="K61" s="196"/>
      <c r="L61" s="189"/>
    </row>
    <row r="62" ht="19.5" customHeight="1"/>
    <row r="63" ht="19.5" customHeight="1"/>
    <row r="64" ht="19.5" customHeight="1"/>
  </sheetData>
  <mergeCells count="13">
    <mergeCell ref="B2:K2"/>
    <mergeCell ref="B3:K3"/>
    <mergeCell ref="C4:H4"/>
    <mergeCell ref="I4:K4"/>
    <mergeCell ref="G5:H5"/>
    <mergeCell ref="J5:K5"/>
    <mergeCell ref="A4:A6"/>
    <mergeCell ref="B4:B6"/>
    <mergeCell ref="C5:C6"/>
    <mergeCell ref="D5:D6"/>
    <mergeCell ref="E5:E6"/>
    <mergeCell ref="F5:F6"/>
    <mergeCell ref="I5:I6"/>
  </mergeCells>
  <printOptions horizontalCentered="1"/>
  <pageMargins left="0.511805555555556" right="0.55" top="0.786805555555556" bottom="0.786805555555556" header="0.313888888888889" footer="0.432638888888889"/>
  <pageSetup paperSize="9" scale="87" orientation="landscape"/>
  <headerFooter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showZeros="0" view="pageBreakPreview" zoomScaleNormal="100" zoomScaleSheetLayoutView="100" topLeftCell="A3" workbookViewId="0">
      <selection activeCell="C19" sqref="C19"/>
    </sheetView>
  </sheetViews>
  <sheetFormatPr defaultColWidth="9" defaultRowHeight="14.25"/>
  <cols>
    <col min="1" max="1" width="38.25" style="118" customWidth="1"/>
    <col min="2" max="2" width="11" style="119" customWidth="1"/>
    <col min="3" max="3" width="12.8333333333333" style="120" customWidth="1"/>
    <col min="4" max="4" width="11.25" style="121" customWidth="1"/>
    <col min="5" max="5" width="12.3333333333333" style="121" hidden="1" customWidth="1"/>
    <col min="6" max="7" width="12.25" style="121" customWidth="1"/>
    <col min="8" max="8" width="12.25" style="119" customWidth="1"/>
    <col min="9" max="10" width="13.25" style="121" customWidth="1"/>
    <col min="11" max="256" width="9" style="118"/>
    <col min="257" max="257" width="37.0833333333333" style="118" customWidth="1"/>
    <col min="258" max="258" width="11" style="118" customWidth="1"/>
    <col min="259" max="259" width="12.8333333333333" style="118" customWidth="1"/>
    <col min="260" max="260" width="11.25" style="118" customWidth="1"/>
    <col min="261" max="261" width="12.3333333333333" style="118" customWidth="1"/>
    <col min="262" max="262" width="12.25" style="118" customWidth="1"/>
    <col min="263" max="263" width="10.0833333333333" style="118" customWidth="1"/>
    <col min="264" max="264" width="12.25" style="118" customWidth="1"/>
    <col min="265" max="265" width="12.0833333333333" style="118" customWidth="1"/>
    <col min="266" max="266" width="10.3333333333333" style="118" customWidth="1"/>
    <col min="267" max="512" width="9" style="118"/>
    <col min="513" max="513" width="37.0833333333333" style="118" customWidth="1"/>
    <col min="514" max="514" width="11" style="118" customWidth="1"/>
    <col min="515" max="515" width="12.8333333333333" style="118" customWidth="1"/>
    <col min="516" max="516" width="11.25" style="118" customWidth="1"/>
    <col min="517" max="517" width="12.3333333333333" style="118" customWidth="1"/>
    <col min="518" max="518" width="12.25" style="118" customWidth="1"/>
    <col min="519" max="519" width="10.0833333333333" style="118" customWidth="1"/>
    <col min="520" max="520" width="12.25" style="118" customWidth="1"/>
    <col min="521" max="521" width="12.0833333333333" style="118" customWidth="1"/>
    <col min="522" max="522" width="10.3333333333333" style="118" customWidth="1"/>
    <col min="523" max="768" width="9" style="118"/>
    <col min="769" max="769" width="37.0833333333333" style="118" customWidth="1"/>
    <col min="770" max="770" width="11" style="118" customWidth="1"/>
    <col min="771" max="771" width="12.8333333333333" style="118" customWidth="1"/>
    <col min="772" max="772" width="11.25" style="118" customWidth="1"/>
    <col min="773" max="773" width="12.3333333333333" style="118" customWidth="1"/>
    <col min="774" max="774" width="12.25" style="118" customWidth="1"/>
    <col min="775" max="775" width="10.0833333333333" style="118" customWidth="1"/>
    <col min="776" max="776" width="12.25" style="118" customWidth="1"/>
    <col min="777" max="777" width="12.0833333333333" style="118" customWidth="1"/>
    <col min="778" max="778" width="10.3333333333333" style="118" customWidth="1"/>
    <col min="779" max="1024" width="9" style="118"/>
    <col min="1025" max="1025" width="37.0833333333333" style="118" customWidth="1"/>
    <col min="1026" max="1026" width="11" style="118" customWidth="1"/>
    <col min="1027" max="1027" width="12.8333333333333" style="118" customWidth="1"/>
    <col min="1028" max="1028" width="11.25" style="118" customWidth="1"/>
    <col min="1029" max="1029" width="12.3333333333333" style="118" customWidth="1"/>
    <col min="1030" max="1030" width="12.25" style="118" customWidth="1"/>
    <col min="1031" max="1031" width="10.0833333333333" style="118" customWidth="1"/>
    <col min="1032" max="1032" width="12.25" style="118" customWidth="1"/>
    <col min="1033" max="1033" width="12.0833333333333" style="118" customWidth="1"/>
    <col min="1034" max="1034" width="10.3333333333333" style="118" customWidth="1"/>
    <col min="1035" max="1280" width="9" style="118"/>
    <col min="1281" max="1281" width="37.0833333333333" style="118" customWidth="1"/>
    <col min="1282" max="1282" width="11" style="118" customWidth="1"/>
    <col min="1283" max="1283" width="12.8333333333333" style="118" customWidth="1"/>
    <col min="1284" max="1284" width="11.25" style="118" customWidth="1"/>
    <col min="1285" max="1285" width="12.3333333333333" style="118" customWidth="1"/>
    <col min="1286" max="1286" width="12.25" style="118" customWidth="1"/>
    <col min="1287" max="1287" width="10.0833333333333" style="118" customWidth="1"/>
    <col min="1288" max="1288" width="12.25" style="118" customWidth="1"/>
    <col min="1289" max="1289" width="12.0833333333333" style="118" customWidth="1"/>
    <col min="1290" max="1290" width="10.3333333333333" style="118" customWidth="1"/>
    <col min="1291" max="1536" width="9" style="118"/>
    <col min="1537" max="1537" width="37.0833333333333" style="118" customWidth="1"/>
    <col min="1538" max="1538" width="11" style="118" customWidth="1"/>
    <col min="1539" max="1539" width="12.8333333333333" style="118" customWidth="1"/>
    <col min="1540" max="1540" width="11.25" style="118" customWidth="1"/>
    <col min="1541" max="1541" width="12.3333333333333" style="118" customWidth="1"/>
    <col min="1542" max="1542" width="12.25" style="118" customWidth="1"/>
    <col min="1543" max="1543" width="10.0833333333333" style="118" customWidth="1"/>
    <col min="1544" max="1544" width="12.25" style="118" customWidth="1"/>
    <col min="1545" max="1545" width="12.0833333333333" style="118" customWidth="1"/>
    <col min="1546" max="1546" width="10.3333333333333" style="118" customWidth="1"/>
    <col min="1547" max="1792" width="9" style="118"/>
    <col min="1793" max="1793" width="37.0833333333333" style="118" customWidth="1"/>
    <col min="1794" max="1794" width="11" style="118" customWidth="1"/>
    <col min="1795" max="1795" width="12.8333333333333" style="118" customWidth="1"/>
    <col min="1796" max="1796" width="11.25" style="118" customWidth="1"/>
    <col min="1797" max="1797" width="12.3333333333333" style="118" customWidth="1"/>
    <col min="1798" max="1798" width="12.25" style="118" customWidth="1"/>
    <col min="1799" max="1799" width="10.0833333333333" style="118" customWidth="1"/>
    <col min="1800" max="1800" width="12.25" style="118" customWidth="1"/>
    <col min="1801" max="1801" width="12.0833333333333" style="118" customWidth="1"/>
    <col min="1802" max="1802" width="10.3333333333333" style="118" customWidth="1"/>
    <col min="1803" max="2048" width="9" style="118"/>
    <col min="2049" max="2049" width="37.0833333333333" style="118" customWidth="1"/>
    <col min="2050" max="2050" width="11" style="118" customWidth="1"/>
    <col min="2051" max="2051" width="12.8333333333333" style="118" customWidth="1"/>
    <col min="2052" max="2052" width="11.25" style="118" customWidth="1"/>
    <col min="2053" max="2053" width="12.3333333333333" style="118" customWidth="1"/>
    <col min="2054" max="2054" width="12.25" style="118" customWidth="1"/>
    <col min="2055" max="2055" width="10.0833333333333" style="118" customWidth="1"/>
    <col min="2056" max="2056" width="12.25" style="118" customWidth="1"/>
    <col min="2057" max="2057" width="12.0833333333333" style="118" customWidth="1"/>
    <col min="2058" max="2058" width="10.3333333333333" style="118" customWidth="1"/>
    <col min="2059" max="2304" width="9" style="118"/>
    <col min="2305" max="2305" width="37.0833333333333" style="118" customWidth="1"/>
    <col min="2306" max="2306" width="11" style="118" customWidth="1"/>
    <col min="2307" max="2307" width="12.8333333333333" style="118" customWidth="1"/>
    <col min="2308" max="2308" width="11.25" style="118" customWidth="1"/>
    <col min="2309" max="2309" width="12.3333333333333" style="118" customWidth="1"/>
    <col min="2310" max="2310" width="12.25" style="118" customWidth="1"/>
    <col min="2311" max="2311" width="10.0833333333333" style="118" customWidth="1"/>
    <col min="2312" max="2312" width="12.25" style="118" customWidth="1"/>
    <col min="2313" max="2313" width="12.0833333333333" style="118" customWidth="1"/>
    <col min="2314" max="2314" width="10.3333333333333" style="118" customWidth="1"/>
    <col min="2315" max="2560" width="9" style="118"/>
    <col min="2561" max="2561" width="37.0833333333333" style="118" customWidth="1"/>
    <col min="2562" max="2562" width="11" style="118" customWidth="1"/>
    <col min="2563" max="2563" width="12.8333333333333" style="118" customWidth="1"/>
    <col min="2564" max="2564" width="11.25" style="118" customWidth="1"/>
    <col min="2565" max="2565" width="12.3333333333333" style="118" customWidth="1"/>
    <col min="2566" max="2566" width="12.25" style="118" customWidth="1"/>
    <col min="2567" max="2567" width="10.0833333333333" style="118" customWidth="1"/>
    <col min="2568" max="2568" width="12.25" style="118" customWidth="1"/>
    <col min="2569" max="2569" width="12.0833333333333" style="118" customWidth="1"/>
    <col min="2570" max="2570" width="10.3333333333333" style="118" customWidth="1"/>
    <col min="2571" max="2816" width="9" style="118"/>
    <col min="2817" max="2817" width="37.0833333333333" style="118" customWidth="1"/>
    <col min="2818" max="2818" width="11" style="118" customWidth="1"/>
    <col min="2819" max="2819" width="12.8333333333333" style="118" customWidth="1"/>
    <col min="2820" max="2820" width="11.25" style="118" customWidth="1"/>
    <col min="2821" max="2821" width="12.3333333333333" style="118" customWidth="1"/>
    <col min="2822" max="2822" width="12.25" style="118" customWidth="1"/>
    <col min="2823" max="2823" width="10.0833333333333" style="118" customWidth="1"/>
    <col min="2824" max="2824" width="12.25" style="118" customWidth="1"/>
    <col min="2825" max="2825" width="12.0833333333333" style="118" customWidth="1"/>
    <col min="2826" max="2826" width="10.3333333333333" style="118" customWidth="1"/>
    <col min="2827" max="3072" width="9" style="118"/>
    <col min="3073" max="3073" width="37.0833333333333" style="118" customWidth="1"/>
    <col min="3074" max="3074" width="11" style="118" customWidth="1"/>
    <col min="3075" max="3075" width="12.8333333333333" style="118" customWidth="1"/>
    <col min="3076" max="3076" width="11.25" style="118" customWidth="1"/>
    <col min="3077" max="3077" width="12.3333333333333" style="118" customWidth="1"/>
    <col min="3078" max="3078" width="12.25" style="118" customWidth="1"/>
    <col min="3079" max="3079" width="10.0833333333333" style="118" customWidth="1"/>
    <col min="3080" max="3080" width="12.25" style="118" customWidth="1"/>
    <col min="3081" max="3081" width="12.0833333333333" style="118" customWidth="1"/>
    <col min="3082" max="3082" width="10.3333333333333" style="118" customWidth="1"/>
    <col min="3083" max="3328" width="9" style="118"/>
    <col min="3329" max="3329" width="37.0833333333333" style="118" customWidth="1"/>
    <col min="3330" max="3330" width="11" style="118" customWidth="1"/>
    <col min="3331" max="3331" width="12.8333333333333" style="118" customWidth="1"/>
    <col min="3332" max="3332" width="11.25" style="118" customWidth="1"/>
    <col min="3333" max="3333" width="12.3333333333333" style="118" customWidth="1"/>
    <col min="3334" max="3334" width="12.25" style="118" customWidth="1"/>
    <col min="3335" max="3335" width="10.0833333333333" style="118" customWidth="1"/>
    <col min="3336" max="3336" width="12.25" style="118" customWidth="1"/>
    <col min="3337" max="3337" width="12.0833333333333" style="118" customWidth="1"/>
    <col min="3338" max="3338" width="10.3333333333333" style="118" customWidth="1"/>
    <col min="3339" max="3584" width="9" style="118"/>
    <col min="3585" max="3585" width="37.0833333333333" style="118" customWidth="1"/>
    <col min="3586" max="3586" width="11" style="118" customWidth="1"/>
    <col min="3587" max="3587" width="12.8333333333333" style="118" customWidth="1"/>
    <col min="3588" max="3588" width="11.25" style="118" customWidth="1"/>
    <col min="3589" max="3589" width="12.3333333333333" style="118" customWidth="1"/>
    <col min="3590" max="3590" width="12.25" style="118" customWidth="1"/>
    <col min="3591" max="3591" width="10.0833333333333" style="118" customWidth="1"/>
    <col min="3592" max="3592" width="12.25" style="118" customWidth="1"/>
    <col min="3593" max="3593" width="12.0833333333333" style="118" customWidth="1"/>
    <col min="3594" max="3594" width="10.3333333333333" style="118" customWidth="1"/>
    <col min="3595" max="3840" width="9" style="118"/>
    <col min="3841" max="3841" width="37.0833333333333" style="118" customWidth="1"/>
    <col min="3842" max="3842" width="11" style="118" customWidth="1"/>
    <col min="3843" max="3843" width="12.8333333333333" style="118" customWidth="1"/>
    <col min="3844" max="3844" width="11.25" style="118" customWidth="1"/>
    <col min="3845" max="3845" width="12.3333333333333" style="118" customWidth="1"/>
    <col min="3846" max="3846" width="12.25" style="118" customWidth="1"/>
    <col min="3847" max="3847" width="10.0833333333333" style="118" customWidth="1"/>
    <col min="3848" max="3848" width="12.25" style="118" customWidth="1"/>
    <col min="3849" max="3849" width="12.0833333333333" style="118" customWidth="1"/>
    <col min="3850" max="3850" width="10.3333333333333" style="118" customWidth="1"/>
    <col min="3851" max="4096" width="9" style="118"/>
    <col min="4097" max="4097" width="37.0833333333333" style="118" customWidth="1"/>
    <col min="4098" max="4098" width="11" style="118" customWidth="1"/>
    <col min="4099" max="4099" width="12.8333333333333" style="118" customWidth="1"/>
    <col min="4100" max="4100" width="11.25" style="118" customWidth="1"/>
    <col min="4101" max="4101" width="12.3333333333333" style="118" customWidth="1"/>
    <col min="4102" max="4102" width="12.25" style="118" customWidth="1"/>
    <col min="4103" max="4103" width="10.0833333333333" style="118" customWidth="1"/>
    <col min="4104" max="4104" width="12.25" style="118" customWidth="1"/>
    <col min="4105" max="4105" width="12.0833333333333" style="118" customWidth="1"/>
    <col min="4106" max="4106" width="10.3333333333333" style="118" customWidth="1"/>
    <col min="4107" max="4352" width="9" style="118"/>
    <col min="4353" max="4353" width="37.0833333333333" style="118" customWidth="1"/>
    <col min="4354" max="4354" width="11" style="118" customWidth="1"/>
    <col min="4355" max="4355" width="12.8333333333333" style="118" customWidth="1"/>
    <col min="4356" max="4356" width="11.25" style="118" customWidth="1"/>
    <col min="4357" max="4357" width="12.3333333333333" style="118" customWidth="1"/>
    <col min="4358" max="4358" width="12.25" style="118" customWidth="1"/>
    <col min="4359" max="4359" width="10.0833333333333" style="118" customWidth="1"/>
    <col min="4360" max="4360" width="12.25" style="118" customWidth="1"/>
    <col min="4361" max="4361" width="12.0833333333333" style="118" customWidth="1"/>
    <col min="4362" max="4362" width="10.3333333333333" style="118" customWidth="1"/>
    <col min="4363" max="4608" width="9" style="118"/>
    <col min="4609" max="4609" width="37.0833333333333" style="118" customWidth="1"/>
    <col min="4610" max="4610" width="11" style="118" customWidth="1"/>
    <col min="4611" max="4611" width="12.8333333333333" style="118" customWidth="1"/>
    <col min="4612" max="4612" width="11.25" style="118" customWidth="1"/>
    <col min="4613" max="4613" width="12.3333333333333" style="118" customWidth="1"/>
    <col min="4614" max="4614" width="12.25" style="118" customWidth="1"/>
    <col min="4615" max="4615" width="10.0833333333333" style="118" customWidth="1"/>
    <col min="4616" max="4616" width="12.25" style="118" customWidth="1"/>
    <col min="4617" max="4617" width="12.0833333333333" style="118" customWidth="1"/>
    <col min="4618" max="4618" width="10.3333333333333" style="118" customWidth="1"/>
    <col min="4619" max="4864" width="9" style="118"/>
    <col min="4865" max="4865" width="37.0833333333333" style="118" customWidth="1"/>
    <col min="4866" max="4866" width="11" style="118" customWidth="1"/>
    <col min="4867" max="4867" width="12.8333333333333" style="118" customWidth="1"/>
    <col min="4868" max="4868" width="11.25" style="118" customWidth="1"/>
    <col min="4869" max="4869" width="12.3333333333333" style="118" customWidth="1"/>
    <col min="4870" max="4870" width="12.25" style="118" customWidth="1"/>
    <col min="4871" max="4871" width="10.0833333333333" style="118" customWidth="1"/>
    <col min="4872" max="4872" width="12.25" style="118" customWidth="1"/>
    <col min="4873" max="4873" width="12.0833333333333" style="118" customWidth="1"/>
    <col min="4874" max="4874" width="10.3333333333333" style="118" customWidth="1"/>
    <col min="4875" max="5120" width="9" style="118"/>
    <col min="5121" max="5121" width="37.0833333333333" style="118" customWidth="1"/>
    <col min="5122" max="5122" width="11" style="118" customWidth="1"/>
    <col min="5123" max="5123" width="12.8333333333333" style="118" customWidth="1"/>
    <col min="5124" max="5124" width="11.25" style="118" customWidth="1"/>
    <col min="5125" max="5125" width="12.3333333333333" style="118" customWidth="1"/>
    <col min="5126" max="5126" width="12.25" style="118" customWidth="1"/>
    <col min="5127" max="5127" width="10.0833333333333" style="118" customWidth="1"/>
    <col min="5128" max="5128" width="12.25" style="118" customWidth="1"/>
    <col min="5129" max="5129" width="12.0833333333333" style="118" customWidth="1"/>
    <col min="5130" max="5130" width="10.3333333333333" style="118" customWidth="1"/>
    <col min="5131" max="5376" width="9" style="118"/>
    <col min="5377" max="5377" width="37.0833333333333" style="118" customWidth="1"/>
    <col min="5378" max="5378" width="11" style="118" customWidth="1"/>
    <col min="5379" max="5379" width="12.8333333333333" style="118" customWidth="1"/>
    <col min="5380" max="5380" width="11.25" style="118" customWidth="1"/>
    <col min="5381" max="5381" width="12.3333333333333" style="118" customWidth="1"/>
    <col min="5382" max="5382" width="12.25" style="118" customWidth="1"/>
    <col min="5383" max="5383" width="10.0833333333333" style="118" customWidth="1"/>
    <col min="5384" max="5384" width="12.25" style="118" customWidth="1"/>
    <col min="5385" max="5385" width="12.0833333333333" style="118" customWidth="1"/>
    <col min="5386" max="5386" width="10.3333333333333" style="118" customWidth="1"/>
    <col min="5387" max="5632" width="9" style="118"/>
    <col min="5633" max="5633" width="37.0833333333333" style="118" customWidth="1"/>
    <col min="5634" max="5634" width="11" style="118" customWidth="1"/>
    <col min="5635" max="5635" width="12.8333333333333" style="118" customWidth="1"/>
    <col min="5636" max="5636" width="11.25" style="118" customWidth="1"/>
    <col min="5637" max="5637" width="12.3333333333333" style="118" customWidth="1"/>
    <col min="5638" max="5638" width="12.25" style="118" customWidth="1"/>
    <col min="5639" max="5639" width="10.0833333333333" style="118" customWidth="1"/>
    <col min="5640" max="5640" width="12.25" style="118" customWidth="1"/>
    <col min="5641" max="5641" width="12.0833333333333" style="118" customWidth="1"/>
    <col min="5642" max="5642" width="10.3333333333333" style="118" customWidth="1"/>
    <col min="5643" max="5888" width="9" style="118"/>
    <col min="5889" max="5889" width="37.0833333333333" style="118" customWidth="1"/>
    <col min="5890" max="5890" width="11" style="118" customWidth="1"/>
    <col min="5891" max="5891" width="12.8333333333333" style="118" customWidth="1"/>
    <col min="5892" max="5892" width="11.25" style="118" customWidth="1"/>
    <col min="5893" max="5893" width="12.3333333333333" style="118" customWidth="1"/>
    <col min="5894" max="5894" width="12.25" style="118" customWidth="1"/>
    <col min="5895" max="5895" width="10.0833333333333" style="118" customWidth="1"/>
    <col min="5896" max="5896" width="12.25" style="118" customWidth="1"/>
    <col min="5897" max="5897" width="12.0833333333333" style="118" customWidth="1"/>
    <col min="5898" max="5898" width="10.3333333333333" style="118" customWidth="1"/>
    <col min="5899" max="6144" width="9" style="118"/>
    <col min="6145" max="6145" width="37.0833333333333" style="118" customWidth="1"/>
    <col min="6146" max="6146" width="11" style="118" customWidth="1"/>
    <col min="6147" max="6147" width="12.8333333333333" style="118" customWidth="1"/>
    <col min="6148" max="6148" width="11.25" style="118" customWidth="1"/>
    <col min="6149" max="6149" width="12.3333333333333" style="118" customWidth="1"/>
    <col min="6150" max="6150" width="12.25" style="118" customWidth="1"/>
    <col min="6151" max="6151" width="10.0833333333333" style="118" customWidth="1"/>
    <col min="6152" max="6152" width="12.25" style="118" customWidth="1"/>
    <col min="6153" max="6153" width="12.0833333333333" style="118" customWidth="1"/>
    <col min="6154" max="6154" width="10.3333333333333" style="118" customWidth="1"/>
    <col min="6155" max="6400" width="9" style="118"/>
    <col min="6401" max="6401" width="37.0833333333333" style="118" customWidth="1"/>
    <col min="6402" max="6402" width="11" style="118" customWidth="1"/>
    <col min="6403" max="6403" width="12.8333333333333" style="118" customWidth="1"/>
    <col min="6404" max="6404" width="11.25" style="118" customWidth="1"/>
    <col min="6405" max="6405" width="12.3333333333333" style="118" customWidth="1"/>
    <col min="6406" max="6406" width="12.25" style="118" customWidth="1"/>
    <col min="6407" max="6407" width="10.0833333333333" style="118" customWidth="1"/>
    <col min="6408" max="6408" width="12.25" style="118" customWidth="1"/>
    <col min="6409" max="6409" width="12.0833333333333" style="118" customWidth="1"/>
    <col min="6410" max="6410" width="10.3333333333333" style="118" customWidth="1"/>
    <col min="6411" max="6656" width="9" style="118"/>
    <col min="6657" max="6657" width="37.0833333333333" style="118" customWidth="1"/>
    <col min="6658" max="6658" width="11" style="118" customWidth="1"/>
    <col min="6659" max="6659" width="12.8333333333333" style="118" customWidth="1"/>
    <col min="6660" max="6660" width="11.25" style="118" customWidth="1"/>
    <col min="6661" max="6661" width="12.3333333333333" style="118" customWidth="1"/>
    <col min="6662" max="6662" width="12.25" style="118" customWidth="1"/>
    <col min="6663" max="6663" width="10.0833333333333" style="118" customWidth="1"/>
    <col min="6664" max="6664" width="12.25" style="118" customWidth="1"/>
    <col min="6665" max="6665" width="12.0833333333333" style="118" customWidth="1"/>
    <col min="6666" max="6666" width="10.3333333333333" style="118" customWidth="1"/>
    <col min="6667" max="6912" width="9" style="118"/>
    <col min="6913" max="6913" width="37.0833333333333" style="118" customWidth="1"/>
    <col min="6914" max="6914" width="11" style="118" customWidth="1"/>
    <col min="6915" max="6915" width="12.8333333333333" style="118" customWidth="1"/>
    <col min="6916" max="6916" width="11.25" style="118" customWidth="1"/>
    <col min="6917" max="6917" width="12.3333333333333" style="118" customWidth="1"/>
    <col min="6918" max="6918" width="12.25" style="118" customWidth="1"/>
    <col min="6919" max="6919" width="10.0833333333333" style="118" customWidth="1"/>
    <col min="6920" max="6920" width="12.25" style="118" customWidth="1"/>
    <col min="6921" max="6921" width="12.0833333333333" style="118" customWidth="1"/>
    <col min="6922" max="6922" width="10.3333333333333" style="118" customWidth="1"/>
    <col min="6923" max="7168" width="9" style="118"/>
    <col min="7169" max="7169" width="37.0833333333333" style="118" customWidth="1"/>
    <col min="7170" max="7170" width="11" style="118" customWidth="1"/>
    <col min="7171" max="7171" width="12.8333333333333" style="118" customWidth="1"/>
    <col min="7172" max="7172" width="11.25" style="118" customWidth="1"/>
    <col min="7173" max="7173" width="12.3333333333333" style="118" customWidth="1"/>
    <col min="7174" max="7174" width="12.25" style="118" customWidth="1"/>
    <col min="7175" max="7175" width="10.0833333333333" style="118" customWidth="1"/>
    <col min="7176" max="7176" width="12.25" style="118" customWidth="1"/>
    <col min="7177" max="7177" width="12.0833333333333" style="118" customWidth="1"/>
    <col min="7178" max="7178" width="10.3333333333333" style="118" customWidth="1"/>
    <col min="7179" max="7424" width="9" style="118"/>
    <col min="7425" max="7425" width="37.0833333333333" style="118" customWidth="1"/>
    <col min="7426" max="7426" width="11" style="118" customWidth="1"/>
    <col min="7427" max="7427" width="12.8333333333333" style="118" customWidth="1"/>
    <col min="7428" max="7428" width="11.25" style="118" customWidth="1"/>
    <col min="7429" max="7429" width="12.3333333333333" style="118" customWidth="1"/>
    <col min="7430" max="7430" width="12.25" style="118" customWidth="1"/>
    <col min="7431" max="7431" width="10.0833333333333" style="118" customWidth="1"/>
    <col min="7432" max="7432" width="12.25" style="118" customWidth="1"/>
    <col min="7433" max="7433" width="12.0833333333333" style="118" customWidth="1"/>
    <col min="7434" max="7434" width="10.3333333333333" style="118" customWidth="1"/>
    <col min="7435" max="7680" width="9" style="118"/>
    <col min="7681" max="7681" width="37.0833333333333" style="118" customWidth="1"/>
    <col min="7682" max="7682" width="11" style="118" customWidth="1"/>
    <col min="7683" max="7683" width="12.8333333333333" style="118" customWidth="1"/>
    <col min="7684" max="7684" width="11.25" style="118" customWidth="1"/>
    <col min="7685" max="7685" width="12.3333333333333" style="118" customWidth="1"/>
    <col min="7686" max="7686" width="12.25" style="118" customWidth="1"/>
    <col min="7687" max="7687" width="10.0833333333333" style="118" customWidth="1"/>
    <col min="7688" max="7688" width="12.25" style="118" customWidth="1"/>
    <col min="7689" max="7689" width="12.0833333333333" style="118" customWidth="1"/>
    <col min="7690" max="7690" width="10.3333333333333" style="118" customWidth="1"/>
    <col min="7691" max="7936" width="9" style="118"/>
    <col min="7937" max="7937" width="37.0833333333333" style="118" customWidth="1"/>
    <col min="7938" max="7938" width="11" style="118" customWidth="1"/>
    <col min="7939" max="7939" width="12.8333333333333" style="118" customWidth="1"/>
    <col min="7940" max="7940" width="11.25" style="118" customWidth="1"/>
    <col min="7941" max="7941" width="12.3333333333333" style="118" customWidth="1"/>
    <col min="7942" max="7942" width="12.25" style="118" customWidth="1"/>
    <col min="7943" max="7943" width="10.0833333333333" style="118" customWidth="1"/>
    <col min="7944" max="7944" width="12.25" style="118" customWidth="1"/>
    <col min="7945" max="7945" width="12.0833333333333" style="118" customWidth="1"/>
    <col min="7946" max="7946" width="10.3333333333333" style="118" customWidth="1"/>
    <col min="7947" max="8192" width="9" style="118"/>
    <col min="8193" max="8193" width="37.0833333333333" style="118" customWidth="1"/>
    <col min="8194" max="8194" width="11" style="118" customWidth="1"/>
    <col min="8195" max="8195" width="12.8333333333333" style="118" customWidth="1"/>
    <col min="8196" max="8196" width="11.25" style="118" customWidth="1"/>
    <col min="8197" max="8197" width="12.3333333333333" style="118" customWidth="1"/>
    <col min="8198" max="8198" width="12.25" style="118" customWidth="1"/>
    <col min="8199" max="8199" width="10.0833333333333" style="118" customWidth="1"/>
    <col min="8200" max="8200" width="12.25" style="118" customWidth="1"/>
    <col min="8201" max="8201" width="12.0833333333333" style="118" customWidth="1"/>
    <col min="8202" max="8202" width="10.3333333333333" style="118" customWidth="1"/>
    <col min="8203" max="8448" width="9" style="118"/>
    <col min="8449" max="8449" width="37.0833333333333" style="118" customWidth="1"/>
    <col min="8450" max="8450" width="11" style="118" customWidth="1"/>
    <col min="8451" max="8451" width="12.8333333333333" style="118" customWidth="1"/>
    <col min="8452" max="8452" width="11.25" style="118" customWidth="1"/>
    <col min="8453" max="8453" width="12.3333333333333" style="118" customWidth="1"/>
    <col min="8454" max="8454" width="12.25" style="118" customWidth="1"/>
    <col min="8455" max="8455" width="10.0833333333333" style="118" customWidth="1"/>
    <col min="8456" max="8456" width="12.25" style="118" customWidth="1"/>
    <col min="8457" max="8457" width="12.0833333333333" style="118" customWidth="1"/>
    <col min="8458" max="8458" width="10.3333333333333" style="118" customWidth="1"/>
    <col min="8459" max="8704" width="9" style="118"/>
    <col min="8705" max="8705" width="37.0833333333333" style="118" customWidth="1"/>
    <col min="8706" max="8706" width="11" style="118" customWidth="1"/>
    <col min="8707" max="8707" width="12.8333333333333" style="118" customWidth="1"/>
    <col min="8708" max="8708" width="11.25" style="118" customWidth="1"/>
    <col min="8709" max="8709" width="12.3333333333333" style="118" customWidth="1"/>
    <col min="8710" max="8710" width="12.25" style="118" customWidth="1"/>
    <col min="8711" max="8711" width="10.0833333333333" style="118" customWidth="1"/>
    <col min="8712" max="8712" width="12.25" style="118" customWidth="1"/>
    <col min="8713" max="8713" width="12.0833333333333" style="118" customWidth="1"/>
    <col min="8714" max="8714" width="10.3333333333333" style="118" customWidth="1"/>
    <col min="8715" max="8960" width="9" style="118"/>
    <col min="8961" max="8961" width="37.0833333333333" style="118" customWidth="1"/>
    <col min="8962" max="8962" width="11" style="118" customWidth="1"/>
    <col min="8963" max="8963" width="12.8333333333333" style="118" customWidth="1"/>
    <col min="8964" max="8964" width="11.25" style="118" customWidth="1"/>
    <col min="8965" max="8965" width="12.3333333333333" style="118" customWidth="1"/>
    <col min="8966" max="8966" width="12.25" style="118" customWidth="1"/>
    <col min="8967" max="8967" width="10.0833333333333" style="118" customWidth="1"/>
    <col min="8968" max="8968" width="12.25" style="118" customWidth="1"/>
    <col min="8969" max="8969" width="12.0833333333333" style="118" customWidth="1"/>
    <col min="8970" max="8970" width="10.3333333333333" style="118" customWidth="1"/>
    <col min="8971" max="9216" width="9" style="118"/>
    <col min="9217" max="9217" width="37.0833333333333" style="118" customWidth="1"/>
    <col min="9218" max="9218" width="11" style="118" customWidth="1"/>
    <col min="9219" max="9219" width="12.8333333333333" style="118" customWidth="1"/>
    <col min="9220" max="9220" width="11.25" style="118" customWidth="1"/>
    <col min="9221" max="9221" width="12.3333333333333" style="118" customWidth="1"/>
    <col min="9222" max="9222" width="12.25" style="118" customWidth="1"/>
    <col min="9223" max="9223" width="10.0833333333333" style="118" customWidth="1"/>
    <col min="9224" max="9224" width="12.25" style="118" customWidth="1"/>
    <col min="9225" max="9225" width="12.0833333333333" style="118" customWidth="1"/>
    <col min="9226" max="9226" width="10.3333333333333" style="118" customWidth="1"/>
    <col min="9227" max="9472" width="9" style="118"/>
    <col min="9473" max="9473" width="37.0833333333333" style="118" customWidth="1"/>
    <col min="9474" max="9474" width="11" style="118" customWidth="1"/>
    <col min="9475" max="9475" width="12.8333333333333" style="118" customWidth="1"/>
    <col min="9476" max="9476" width="11.25" style="118" customWidth="1"/>
    <col min="9477" max="9477" width="12.3333333333333" style="118" customWidth="1"/>
    <col min="9478" max="9478" width="12.25" style="118" customWidth="1"/>
    <col min="9479" max="9479" width="10.0833333333333" style="118" customWidth="1"/>
    <col min="9480" max="9480" width="12.25" style="118" customWidth="1"/>
    <col min="9481" max="9481" width="12.0833333333333" style="118" customWidth="1"/>
    <col min="9482" max="9482" width="10.3333333333333" style="118" customWidth="1"/>
    <col min="9483" max="9728" width="9" style="118"/>
    <col min="9729" max="9729" width="37.0833333333333" style="118" customWidth="1"/>
    <col min="9730" max="9730" width="11" style="118" customWidth="1"/>
    <col min="9731" max="9731" width="12.8333333333333" style="118" customWidth="1"/>
    <col min="9732" max="9732" width="11.25" style="118" customWidth="1"/>
    <col min="9733" max="9733" width="12.3333333333333" style="118" customWidth="1"/>
    <col min="9734" max="9734" width="12.25" style="118" customWidth="1"/>
    <col min="9735" max="9735" width="10.0833333333333" style="118" customWidth="1"/>
    <col min="9736" max="9736" width="12.25" style="118" customWidth="1"/>
    <col min="9737" max="9737" width="12.0833333333333" style="118" customWidth="1"/>
    <col min="9738" max="9738" width="10.3333333333333" style="118" customWidth="1"/>
    <col min="9739" max="9984" width="9" style="118"/>
    <col min="9985" max="9985" width="37.0833333333333" style="118" customWidth="1"/>
    <col min="9986" max="9986" width="11" style="118" customWidth="1"/>
    <col min="9987" max="9987" width="12.8333333333333" style="118" customWidth="1"/>
    <col min="9988" max="9988" width="11.25" style="118" customWidth="1"/>
    <col min="9989" max="9989" width="12.3333333333333" style="118" customWidth="1"/>
    <col min="9990" max="9990" width="12.25" style="118" customWidth="1"/>
    <col min="9991" max="9991" width="10.0833333333333" style="118" customWidth="1"/>
    <col min="9992" max="9992" width="12.25" style="118" customWidth="1"/>
    <col min="9993" max="9993" width="12.0833333333333" style="118" customWidth="1"/>
    <col min="9994" max="9994" width="10.3333333333333" style="118" customWidth="1"/>
    <col min="9995" max="10240" width="9" style="118"/>
    <col min="10241" max="10241" width="37.0833333333333" style="118" customWidth="1"/>
    <col min="10242" max="10242" width="11" style="118" customWidth="1"/>
    <col min="10243" max="10243" width="12.8333333333333" style="118" customWidth="1"/>
    <col min="10244" max="10244" width="11.25" style="118" customWidth="1"/>
    <col min="10245" max="10245" width="12.3333333333333" style="118" customWidth="1"/>
    <col min="10246" max="10246" width="12.25" style="118" customWidth="1"/>
    <col min="10247" max="10247" width="10.0833333333333" style="118" customWidth="1"/>
    <col min="10248" max="10248" width="12.25" style="118" customWidth="1"/>
    <col min="10249" max="10249" width="12.0833333333333" style="118" customWidth="1"/>
    <col min="10250" max="10250" width="10.3333333333333" style="118" customWidth="1"/>
    <col min="10251" max="10496" width="9" style="118"/>
    <col min="10497" max="10497" width="37.0833333333333" style="118" customWidth="1"/>
    <col min="10498" max="10498" width="11" style="118" customWidth="1"/>
    <col min="10499" max="10499" width="12.8333333333333" style="118" customWidth="1"/>
    <col min="10500" max="10500" width="11.25" style="118" customWidth="1"/>
    <col min="10501" max="10501" width="12.3333333333333" style="118" customWidth="1"/>
    <col min="10502" max="10502" width="12.25" style="118" customWidth="1"/>
    <col min="10503" max="10503" width="10.0833333333333" style="118" customWidth="1"/>
    <col min="10504" max="10504" width="12.25" style="118" customWidth="1"/>
    <col min="10505" max="10505" width="12.0833333333333" style="118" customWidth="1"/>
    <col min="10506" max="10506" width="10.3333333333333" style="118" customWidth="1"/>
    <col min="10507" max="10752" width="9" style="118"/>
    <col min="10753" max="10753" width="37.0833333333333" style="118" customWidth="1"/>
    <col min="10754" max="10754" width="11" style="118" customWidth="1"/>
    <col min="10755" max="10755" width="12.8333333333333" style="118" customWidth="1"/>
    <col min="10756" max="10756" width="11.25" style="118" customWidth="1"/>
    <col min="10757" max="10757" width="12.3333333333333" style="118" customWidth="1"/>
    <col min="10758" max="10758" width="12.25" style="118" customWidth="1"/>
    <col min="10759" max="10759" width="10.0833333333333" style="118" customWidth="1"/>
    <col min="10760" max="10760" width="12.25" style="118" customWidth="1"/>
    <col min="10761" max="10761" width="12.0833333333333" style="118" customWidth="1"/>
    <col min="10762" max="10762" width="10.3333333333333" style="118" customWidth="1"/>
    <col min="10763" max="11008" width="9" style="118"/>
    <col min="11009" max="11009" width="37.0833333333333" style="118" customWidth="1"/>
    <col min="11010" max="11010" width="11" style="118" customWidth="1"/>
    <col min="11011" max="11011" width="12.8333333333333" style="118" customWidth="1"/>
    <col min="11012" max="11012" width="11.25" style="118" customWidth="1"/>
    <col min="11013" max="11013" width="12.3333333333333" style="118" customWidth="1"/>
    <col min="11014" max="11014" width="12.25" style="118" customWidth="1"/>
    <col min="11015" max="11015" width="10.0833333333333" style="118" customWidth="1"/>
    <col min="11016" max="11016" width="12.25" style="118" customWidth="1"/>
    <col min="11017" max="11017" width="12.0833333333333" style="118" customWidth="1"/>
    <col min="11018" max="11018" width="10.3333333333333" style="118" customWidth="1"/>
    <col min="11019" max="11264" width="9" style="118"/>
    <col min="11265" max="11265" width="37.0833333333333" style="118" customWidth="1"/>
    <col min="11266" max="11266" width="11" style="118" customWidth="1"/>
    <col min="11267" max="11267" width="12.8333333333333" style="118" customWidth="1"/>
    <col min="11268" max="11268" width="11.25" style="118" customWidth="1"/>
    <col min="11269" max="11269" width="12.3333333333333" style="118" customWidth="1"/>
    <col min="11270" max="11270" width="12.25" style="118" customWidth="1"/>
    <col min="11271" max="11271" width="10.0833333333333" style="118" customWidth="1"/>
    <col min="11272" max="11272" width="12.25" style="118" customWidth="1"/>
    <col min="11273" max="11273" width="12.0833333333333" style="118" customWidth="1"/>
    <col min="11274" max="11274" width="10.3333333333333" style="118" customWidth="1"/>
    <col min="11275" max="11520" width="9" style="118"/>
    <col min="11521" max="11521" width="37.0833333333333" style="118" customWidth="1"/>
    <col min="11522" max="11522" width="11" style="118" customWidth="1"/>
    <col min="11523" max="11523" width="12.8333333333333" style="118" customWidth="1"/>
    <col min="11524" max="11524" width="11.25" style="118" customWidth="1"/>
    <col min="11525" max="11525" width="12.3333333333333" style="118" customWidth="1"/>
    <col min="11526" max="11526" width="12.25" style="118" customWidth="1"/>
    <col min="11527" max="11527" width="10.0833333333333" style="118" customWidth="1"/>
    <col min="11528" max="11528" width="12.25" style="118" customWidth="1"/>
    <col min="11529" max="11529" width="12.0833333333333" style="118" customWidth="1"/>
    <col min="11530" max="11530" width="10.3333333333333" style="118" customWidth="1"/>
    <col min="11531" max="11776" width="9" style="118"/>
    <col min="11777" max="11777" width="37.0833333333333" style="118" customWidth="1"/>
    <col min="11778" max="11778" width="11" style="118" customWidth="1"/>
    <col min="11779" max="11779" width="12.8333333333333" style="118" customWidth="1"/>
    <col min="11780" max="11780" width="11.25" style="118" customWidth="1"/>
    <col min="11781" max="11781" width="12.3333333333333" style="118" customWidth="1"/>
    <col min="11782" max="11782" width="12.25" style="118" customWidth="1"/>
    <col min="11783" max="11783" width="10.0833333333333" style="118" customWidth="1"/>
    <col min="11784" max="11784" width="12.25" style="118" customWidth="1"/>
    <col min="11785" max="11785" width="12.0833333333333" style="118" customWidth="1"/>
    <col min="11786" max="11786" width="10.3333333333333" style="118" customWidth="1"/>
    <col min="11787" max="12032" width="9" style="118"/>
    <col min="12033" max="12033" width="37.0833333333333" style="118" customWidth="1"/>
    <col min="12034" max="12034" width="11" style="118" customWidth="1"/>
    <col min="12035" max="12035" width="12.8333333333333" style="118" customWidth="1"/>
    <col min="12036" max="12036" width="11.25" style="118" customWidth="1"/>
    <col min="12037" max="12037" width="12.3333333333333" style="118" customWidth="1"/>
    <col min="12038" max="12038" width="12.25" style="118" customWidth="1"/>
    <col min="12039" max="12039" width="10.0833333333333" style="118" customWidth="1"/>
    <col min="12040" max="12040" width="12.25" style="118" customWidth="1"/>
    <col min="12041" max="12041" width="12.0833333333333" style="118" customWidth="1"/>
    <col min="12042" max="12042" width="10.3333333333333" style="118" customWidth="1"/>
    <col min="12043" max="12288" width="9" style="118"/>
    <col min="12289" max="12289" width="37.0833333333333" style="118" customWidth="1"/>
    <col min="12290" max="12290" width="11" style="118" customWidth="1"/>
    <col min="12291" max="12291" width="12.8333333333333" style="118" customWidth="1"/>
    <col min="12292" max="12292" width="11.25" style="118" customWidth="1"/>
    <col min="12293" max="12293" width="12.3333333333333" style="118" customWidth="1"/>
    <col min="12294" max="12294" width="12.25" style="118" customWidth="1"/>
    <col min="12295" max="12295" width="10.0833333333333" style="118" customWidth="1"/>
    <col min="12296" max="12296" width="12.25" style="118" customWidth="1"/>
    <col min="12297" max="12297" width="12.0833333333333" style="118" customWidth="1"/>
    <col min="12298" max="12298" width="10.3333333333333" style="118" customWidth="1"/>
    <col min="12299" max="12544" width="9" style="118"/>
    <col min="12545" max="12545" width="37.0833333333333" style="118" customWidth="1"/>
    <col min="12546" max="12546" width="11" style="118" customWidth="1"/>
    <col min="12547" max="12547" width="12.8333333333333" style="118" customWidth="1"/>
    <col min="12548" max="12548" width="11.25" style="118" customWidth="1"/>
    <col min="12549" max="12549" width="12.3333333333333" style="118" customWidth="1"/>
    <col min="12550" max="12550" width="12.25" style="118" customWidth="1"/>
    <col min="12551" max="12551" width="10.0833333333333" style="118" customWidth="1"/>
    <col min="12552" max="12552" width="12.25" style="118" customWidth="1"/>
    <col min="12553" max="12553" width="12.0833333333333" style="118" customWidth="1"/>
    <col min="12554" max="12554" width="10.3333333333333" style="118" customWidth="1"/>
    <col min="12555" max="12800" width="9" style="118"/>
    <col min="12801" max="12801" width="37.0833333333333" style="118" customWidth="1"/>
    <col min="12802" max="12802" width="11" style="118" customWidth="1"/>
    <col min="12803" max="12803" width="12.8333333333333" style="118" customWidth="1"/>
    <col min="12804" max="12804" width="11.25" style="118" customWidth="1"/>
    <col min="12805" max="12805" width="12.3333333333333" style="118" customWidth="1"/>
    <col min="12806" max="12806" width="12.25" style="118" customWidth="1"/>
    <col min="12807" max="12807" width="10.0833333333333" style="118" customWidth="1"/>
    <col min="12808" max="12808" width="12.25" style="118" customWidth="1"/>
    <col min="12809" max="12809" width="12.0833333333333" style="118" customWidth="1"/>
    <col min="12810" max="12810" width="10.3333333333333" style="118" customWidth="1"/>
    <col min="12811" max="13056" width="9" style="118"/>
    <col min="13057" max="13057" width="37.0833333333333" style="118" customWidth="1"/>
    <col min="13058" max="13058" width="11" style="118" customWidth="1"/>
    <col min="13059" max="13059" width="12.8333333333333" style="118" customWidth="1"/>
    <col min="13060" max="13060" width="11.25" style="118" customWidth="1"/>
    <col min="13061" max="13061" width="12.3333333333333" style="118" customWidth="1"/>
    <col min="13062" max="13062" width="12.25" style="118" customWidth="1"/>
    <col min="13063" max="13063" width="10.0833333333333" style="118" customWidth="1"/>
    <col min="13064" max="13064" width="12.25" style="118" customWidth="1"/>
    <col min="13065" max="13065" width="12.0833333333333" style="118" customWidth="1"/>
    <col min="13066" max="13066" width="10.3333333333333" style="118" customWidth="1"/>
    <col min="13067" max="13312" width="9" style="118"/>
    <col min="13313" max="13313" width="37.0833333333333" style="118" customWidth="1"/>
    <col min="13314" max="13314" width="11" style="118" customWidth="1"/>
    <col min="13315" max="13315" width="12.8333333333333" style="118" customWidth="1"/>
    <col min="13316" max="13316" width="11.25" style="118" customWidth="1"/>
    <col min="13317" max="13317" width="12.3333333333333" style="118" customWidth="1"/>
    <col min="13318" max="13318" width="12.25" style="118" customWidth="1"/>
    <col min="13319" max="13319" width="10.0833333333333" style="118" customWidth="1"/>
    <col min="13320" max="13320" width="12.25" style="118" customWidth="1"/>
    <col min="13321" max="13321" width="12.0833333333333" style="118" customWidth="1"/>
    <col min="13322" max="13322" width="10.3333333333333" style="118" customWidth="1"/>
    <col min="13323" max="13568" width="9" style="118"/>
    <col min="13569" max="13569" width="37.0833333333333" style="118" customWidth="1"/>
    <col min="13570" max="13570" width="11" style="118" customWidth="1"/>
    <col min="13571" max="13571" width="12.8333333333333" style="118" customWidth="1"/>
    <col min="13572" max="13572" width="11.25" style="118" customWidth="1"/>
    <col min="13573" max="13573" width="12.3333333333333" style="118" customWidth="1"/>
    <col min="13574" max="13574" width="12.25" style="118" customWidth="1"/>
    <col min="13575" max="13575" width="10.0833333333333" style="118" customWidth="1"/>
    <col min="13576" max="13576" width="12.25" style="118" customWidth="1"/>
    <col min="13577" max="13577" width="12.0833333333333" style="118" customWidth="1"/>
    <col min="13578" max="13578" width="10.3333333333333" style="118" customWidth="1"/>
    <col min="13579" max="13824" width="9" style="118"/>
    <col min="13825" max="13825" width="37.0833333333333" style="118" customWidth="1"/>
    <col min="13826" max="13826" width="11" style="118" customWidth="1"/>
    <col min="13827" max="13827" width="12.8333333333333" style="118" customWidth="1"/>
    <col min="13828" max="13828" width="11.25" style="118" customWidth="1"/>
    <col min="13829" max="13829" width="12.3333333333333" style="118" customWidth="1"/>
    <col min="13830" max="13830" width="12.25" style="118" customWidth="1"/>
    <col min="13831" max="13831" width="10.0833333333333" style="118" customWidth="1"/>
    <col min="13832" max="13832" width="12.25" style="118" customWidth="1"/>
    <col min="13833" max="13833" width="12.0833333333333" style="118" customWidth="1"/>
    <col min="13834" max="13834" width="10.3333333333333" style="118" customWidth="1"/>
    <col min="13835" max="14080" width="9" style="118"/>
    <col min="14081" max="14081" width="37.0833333333333" style="118" customWidth="1"/>
    <col min="14082" max="14082" width="11" style="118" customWidth="1"/>
    <col min="14083" max="14083" width="12.8333333333333" style="118" customWidth="1"/>
    <col min="14084" max="14084" width="11.25" style="118" customWidth="1"/>
    <col min="14085" max="14085" width="12.3333333333333" style="118" customWidth="1"/>
    <col min="14086" max="14086" width="12.25" style="118" customWidth="1"/>
    <col min="14087" max="14087" width="10.0833333333333" style="118" customWidth="1"/>
    <col min="14088" max="14088" width="12.25" style="118" customWidth="1"/>
    <col min="14089" max="14089" width="12.0833333333333" style="118" customWidth="1"/>
    <col min="14090" max="14090" width="10.3333333333333" style="118" customWidth="1"/>
    <col min="14091" max="14336" width="9" style="118"/>
    <col min="14337" max="14337" width="37.0833333333333" style="118" customWidth="1"/>
    <col min="14338" max="14338" width="11" style="118" customWidth="1"/>
    <col min="14339" max="14339" width="12.8333333333333" style="118" customWidth="1"/>
    <col min="14340" max="14340" width="11.25" style="118" customWidth="1"/>
    <col min="14341" max="14341" width="12.3333333333333" style="118" customWidth="1"/>
    <col min="14342" max="14342" width="12.25" style="118" customWidth="1"/>
    <col min="14343" max="14343" width="10.0833333333333" style="118" customWidth="1"/>
    <col min="14344" max="14344" width="12.25" style="118" customWidth="1"/>
    <col min="14345" max="14345" width="12.0833333333333" style="118" customWidth="1"/>
    <col min="14346" max="14346" width="10.3333333333333" style="118" customWidth="1"/>
    <col min="14347" max="14592" width="9" style="118"/>
    <col min="14593" max="14593" width="37.0833333333333" style="118" customWidth="1"/>
    <col min="14594" max="14594" width="11" style="118" customWidth="1"/>
    <col min="14595" max="14595" width="12.8333333333333" style="118" customWidth="1"/>
    <col min="14596" max="14596" width="11.25" style="118" customWidth="1"/>
    <col min="14597" max="14597" width="12.3333333333333" style="118" customWidth="1"/>
    <col min="14598" max="14598" width="12.25" style="118" customWidth="1"/>
    <col min="14599" max="14599" width="10.0833333333333" style="118" customWidth="1"/>
    <col min="14600" max="14600" width="12.25" style="118" customWidth="1"/>
    <col min="14601" max="14601" width="12.0833333333333" style="118" customWidth="1"/>
    <col min="14602" max="14602" width="10.3333333333333" style="118" customWidth="1"/>
    <col min="14603" max="14848" width="9" style="118"/>
    <col min="14849" max="14849" width="37.0833333333333" style="118" customWidth="1"/>
    <col min="14850" max="14850" width="11" style="118" customWidth="1"/>
    <col min="14851" max="14851" width="12.8333333333333" style="118" customWidth="1"/>
    <col min="14852" max="14852" width="11.25" style="118" customWidth="1"/>
    <col min="14853" max="14853" width="12.3333333333333" style="118" customWidth="1"/>
    <col min="14854" max="14854" width="12.25" style="118" customWidth="1"/>
    <col min="14855" max="14855" width="10.0833333333333" style="118" customWidth="1"/>
    <col min="14856" max="14856" width="12.25" style="118" customWidth="1"/>
    <col min="14857" max="14857" width="12.0833333333333" style="118" customWidth="1"/>
    <col min="14858" max="14858" width="10.3333333333333" style="118" customWidth="1"/>
    <col min="14859" max="15104" width="9" style="118"/>
    <col min="15105" max="15105" width="37.0833333333333" style="118" customWidth="1"/>
    <col min="15106" max="15106" width="11" style="118" customWidth="1"/>
    <col min="15107" max="15107" width="12.8333333333333" style="118" customWidth="1"/>
    <col min="15108" max="15108" width="11.25" style="118" customWidth="1"/>
    <col min="15109" max="15109" width="12.3333333333333" style="118" customWidth="1"/>
    <col min="15110" max="15110" width="12.25" style="118" customWidth="1"/>
    <col min="15111" max="15111" width="10.0833333333333" style="118" customWidth="1"/>
    <col min="15112" max="15112" width="12.25" style="118" customWidth="1"/>
    <col min="15113" max="15113" width="12.0833333333333" style="118" customWidth="1"/>
    <col min="15114" max="15114" width="10.3333333333333" style="118" customWidth="1"/>
    <col min="15115" max="15360" width="9" style="118"/>
    <col min="15361" max="15361" width="37.0833333333333" style="118" customWidth="1"/>
    <col min="15362" max="15362" width="11" style="118" customWidth="1"/>
    <col min="15363" max="15363" width="12.8333333333333" style="118" customWidth="1"/>
    <col min="15364" max="15364" width="11.25" style="118" customWidth="1"/>
    <col min="15365" max="15365" width="12.3333333333333" style="118" customWidth="1"/>
    <col min="15366" max="15366" width="12.25" style="118" customWidth="1"/>
    <col min="15367" max="15367" width="10.0833333333333" style="118" customWidth="1"/>
    <col min="15368" max="15368" width="12.25" style="118" customWidth="1"/>
    <col min="15369" max="15369" width="12.0833333333333" style="118" customWidth="1"/>
    <col min="15370" max="15370" width="10.3333333333333" style="118" customWidth="1"/>
    <col min="15371" max="15616" width="9" style="118"/>
    <col min="15617" max="15617" width="37.0833333333333" style="118" customWidth="1"/>
    <col min="15618" max="15618" width="11" style="118" customWidth="1"/>
    <col min="15619" max="15619" width="12.8333333333333" style="118" customWidth="1"/>
    <col min="15620" max="15620" width="11.25" style="118" customWidth="1"/>
    <col min="15621" max="15621" width="12.3333333333333" style="118" customWidth="1"/>
    <col min="15622" max="15622" width="12.25" style="118" customWidth="1"/>
    <col min="15623" max="15623" width="10.0833333333333" style="118" customWidth="1"/>
    <col min="15624" max="15624" width="12.25" style="118" customWidth="1"/>
    <col min="15625" max="15625" width="12.0833333333333" style="118" customWidth="1"/>
    <col min="15626" max="15626" width="10.3333333333333" style="118" customWidth="1"/>
    <col min="15627" max="15872" width="9" style="118"/>
    <col min="15873" max="15873" width="37.0833333333333" style="118" customWidth="1"/>
    <col min="15874" max="15874" width="11" style="118" customWidth="1"/>
    <col min="15875" max="15875" width="12.8333333333333" style="118" customWidth="1"/>
    <col min="15876" max="15876" width="11.25" style="118" customWidth="1"/>
    <col min="15877" max="15877" width="12.3333333333333" style="118" customWidth="1"/>
    <col min="15878" max="15878" width="12.25" style="118" customWidth="1"/>
    <col min="15879" max="15879" width="10.0833333333333" style="118" customWidth="1"/>
    <col min="15880" max="15880" width="12.25" style="118" customWidth="1"/>
    <col min="15881" max="15881" width="12.0833333333333" style="118" customWidth="1"/>
    <col min="15882" max="15882" width="10.3333333333333" style="118" customWidth="1"/>
    <col min="15883" max="16128" width="9" style="118"/>
    <col min="16129" max="16129" width="37.0833333333333" style="118" customWidth="1"/>
    <col min="16130" max="16130" width="11" style="118" customWidth="1"/>
    <col min="16131" max="16131" width="12.8333333333333" style="118" customWidth="1"/>
    <col min="16132" max="16132" width="11.25" style="118" customWidth="1"/>
    <col min="16133" max="16133" width="12.3333333333333" style="118" customWidth="1"/>
    <col min="16134" max="16134" width="12.25" style="118" customWidth="1"/>
    <col min="16135" max="16135" width="10.0833333333333" style="118" customWidth="1"/>
    <col min="16136" max="16136" width="12.25" style="118" customWidth="1"/>
    <col min="16137" max="16137" width="12.0833333333333" style="118" customWidth="1"/>
    <col min="16138" max="16138" width="10.3333333333333" style="118" customWidth="1"/>
    <col min="16139" max="16384" width="9" style="118"/>
  </cols>
  <sheetData>
    <row r="1" ht="20.25" spans="1:1">
      <c r="A1" s="122" t="s">
        <v>1558</v>
      </c>
    </row>
    <row r="2" ht="21" customHeight="1" spans="1:12">
      <c r="A2" s="123" t="s">
        <v>1559</v>
      </c>
      <c r="B2" s="123"/>
      <c r="C2" s="123"/>
      <c r="D2" s="123"/>
      <c r="E2" s="123"/>
      <c r="F2" s="123"/>
      <c r="G2" s="123"/>
      <c r="H2" s="123"/>
      <c r="I2" s="123"/>
      <c r="J2" s="123"/>
      <c r="K2" s="155"/>
      <c r="L2" s="155"/>
    </row>
    <row r="3" spans="1:12">
      <c r="A3" s="124" t="s">
        <v>1560</v>
      </c>
      <c r="B3" s="124"/>
      <c r="C3" s="124"/>
      <c r="D3" s="124"/>
      <c r="E3" s="124"/>
      <c r="F3" s="124"/>
      <c r="G3" s="124"/>
      <c r="H3" s="124"/>
      <c r="I3" s="124"/>
      <c r="J3" s="124"/>
      <c r="K3" s="155"/>
      <c r="L3" s="155"/>
    </row>
    <row r="4" spans="1:12">
      <c r="A4" s="125" t="s">
        <v>1502</v>
      </c>
      <c r="B4" s="126" t="s">
        <v>1197</v>
      </c>
      <c r="C4" s="127"/>
      <c r="D4" s="127"/>
      <c r="E4" s="127"/>
      <c r="F4" s="127"/>
      <c r="G4" s="147"/>
      <c r="H4" s="148" t="s">
        <v>36</v>
      </c>
      <c r="I4" s="148"/>
      <c r="J4" s="148"/>
      <c r="K4" s="156"/>
      <c r="L4" s="156"/>
    </row>
    <row r="5" spans="1:12">
      <c r="A5" s="125"/>
      <c r="B5" s="128" t="s">
        <v>1503</v>
      </c>
      <c r="C5" s="129" t="s">
        <v>38</v>
      </c>
      <c r="D5" s="130" t="s">
        <v>39</v>
      </c>
      <c r="E5" s="149" t="s">
        <v>1504</v>
      </c>
      <c r="F5" s="150" t="s">
        <v>1200</v>
      </c>
      <c r="G5" s="150"/>
      <c r="H5" s="151" t="s">
        <v>42</v>
      </c>
      <c r="I5" s="157" t="s">
        <v>152</v>
      </c>
      <c r="J5" s="157"/>
      <c r="K5" s="156"/>
      <c r="L5" s="156"/>
    </row>
    <row r="6" spans="1:12">
      <c r="A6" s="125"/>
      <c r="B6" s="128"/>
      <c r="C6" s="131"/>
      <c r="D6" s="132"/>
      <c r="E6" s="152"/>
      <c r="F6" s="150" t="s">
        <v>44</v>
      </c>
      <c r="G6" s="150" t="s">
        <v>45</v>
      </c>
      <c r="H6" s="151"/>
      <c r="I6" s="158" t="s">
        <v>44</v>
      </c>
      <c r="J6" s="158" t="s">
        <v>45</v>
      </c>
      <c r="K6" s="156"/>
      <c r="L6" s="159"/>
    </row>
    <row r="7" spans="1:12">
      <c r="A7" s="133" t="s">
        <v>1561</v>
      </c>
      <c r="B7" s="134"/>
      <c r="C7" s="135"/>
      <c r="D7" s="136"/>
      <c r="E7" s="140"/>
      <c r="F7" s="140"/>
      <c r="G7" s="136"/>
      <c r="H7" s="134">
        <v>0</v>
      </c>
      <c r="I7" s="138"/>
      <c r="J7" s="136"/>
      <c r="K7" s="155"/>
      <c r="L7" s="159"/>
    </row>
    <row r="8" s="117" customFormat="1" spans="1:12">
      <c r="A8" s="137" t="s">
        <v>1562</v>
      </c>
      <c r="B8" s="138">
        <f>B9+B19+B28+B29+B33</f>
        <v>6122</v>
      </c>
      <c r="C8" s="138">
        <f t="shared" ref="C8:H8" si="0">C9+C19+C28+C29+C33</f>
        <v>45</v>
      </c>
      <c r="D8" s="136">
        <f>C8/B8*100</f>
        <v>0.735053903952957</v>
      </c>
      <c r="E8" s="138">
        <f t="shared" si="0"/>
        <v>9</v>
      </c>
      <c r="F8" s="140">
        <f>C8-E8</f>
        <v>36</v>
      </c>
      <c r="G8" s="136">
        <f>F8/E8*100</f>
        <v>400</v>
      </c>
      <c r="H8" s="138">
        <f t="shared" si="0"/>
        <v>1593</v>
      </c>
      <c r="I8" s="138">
        <f t="shared" ref="I8:I34" si="1">H8-B8</f>
        <v>-4529</v>
      </c>
      <c r="J8" s="136">
        <f>I8/B8*100</f>
        <v>-73.9790918000653</v>
      </c>
      <c r="K8" s="156"/>
      <c r="L8" s="159"/>
    </row>
    <row r="9" s="118" customFormat="1" spans="1:12">
      <c r="A9" s="139" t="s">
        <v>1563</v>
      </c>
      <c r="B9" s="140">
        <f>SUM(B10:B18)</f>
        <v>1122</v>
      </c>
      <c r="C9" s="140">
        <f t="shared" ref="C9:H9" si="2">SUM(C10:C18)</f>
        <v>45</v>
      </c>
      <c r="D9" s="136">
        <f>C9/B9*100</f>
        <v>4.01069518716578</v>
      </c>
      <c r="E9" s="140">
        <f t="shared" si="2"/>
        <v>9</v>
      </c>
      <c r="F9" s="140">
        <f>C9-E9</f>
        <v>36</v>
      </c>
      <c r="G9" s="136">
        <f>F9/E9*100</f>
        <v>400</v>
      </c>
      <c r="H9" s="140">
        <f t="shared" si="2"/>
        <v>1093</v>
      </c>
      <c r="I9" s="138">
        <f t="shared" si="1"/>
        <v>-29</v>
      </c>
      <c r="J9" s="136">
        <f>I9/B9*100</f>
        <v>-2.58467023172906</v>
      </c>
      <c r="K9" s="155"/>
      <c r="L9" s="159"/>
    </row>
    <row r="10" spans="1:12">
      <c r="A10" s="139" t="s">
        <v>1564</v>
      </c>
      <c r="B10" s="140"/>
      <c r="C10" s="141"/>
      <c r="D10" s="136"/>
      <c r="E10" s="140"/>
      <c r="F10" s="140"/>
      <c r="G10" s="136"/>
      <c r="H10" s="140">
        <v>0</v>
      </c>
      <c r="I10" s="138">
        <f t="shared" si="1"/>
        <v>0</v>
      </c>
      <c r="J10" s="136"/>
      <c r="K10" s="155"/>
      <c r="L10" s="159"/>
    </row>
    <row r="11" spans="1:12">
      <c r="A11" s="142" t="s">
        <v>1565</v>
      </c>
      <c r="B11" s="140"/>
      <c r="C11" s="141"/>
      <c r="D11" s="136"/>
      <c r="E11" s="140"/>
      <c r="F11" s="140"/>
      <c r="G11" s="136"/>
      <c r="H11" s="140"/>
      <c r="I11" s="138">
        <f t="shared" si="1"/>
        <v>0</v>
      </c>
      <c r="J11" s="136"/>
      <c r="K11" s="155"/>
      <c r="L11" s="159"/>
    </row>
    <row r="12" spans="1:12">
      <c r="A12" s="142" t="s">
        <v>1566</v>
      </c>
      <c r="B12" s="140"/>
      <c r="C12" s="141"/>
      <c r="D12" s="136"/>
      <c r="E12" s="140"/>
      <c r="F12" s="140"/>
      <c r="G12" s="136"/>
      <c r="H12" s="140"/>
      <c r="I12" s="138">
        <f t="shared" si="1"/>
        <v>0</v>
      </c>
      <c r="J12" s="136"/>
      <c r="K12" s="155"/>
      <c r="L12" s="159"/>
    </row>
    <row r="13" spans="1:12">
      <c r="A13" s="139" t="s">
        <v>1567</v>
      </c>
      <c r="B13" s="140"/>
      <c r="C13" s="141"/>
      <c r="D13" s="136"/>
      <c r="E13" s="140"/>
      <c r="F13" s="140"/>
      <c r="G13" s="136"/>
      <c r="H13" s="140"/>
      <c r="I13" s="138">
        <f t="shared" si="1"/>
        <v>0</v>
      </c>
      <c r="J13" s="136"/>
      <c r="K13" s="155"/>
      <c r="L13" s="159"/>
    </row>
    <row r="14" spans="1:12">
      <c r="A14" s="139" t="s">
        <v>1568</v>
      </c>
      <c r="B14" s="140">
        <v>708</v>
      </c>
      <c r="C14" s="141">
        <v>45</v>
      </c>
      <c r="D14" s="136"/>
      <c r="E14" s="140">
        <v>9</v>
      </c>
      <c r="F14" s="140">
        <f t="shared" ref="F14:F19" si="3">C14-E14</f>
        <v>36</v>
      </c>
      <c r="G14" s="136">
        <f>F14/E14*100</f>
        <v>400</v>
      </c>
      <c r="H14" s="140">
        <v>800</v>
      </c>
      <c r="I14" s="138">
        <f t="shared" si="1"/>
        <v>92</v>
      </c>
      <c r="J14" s="136">
        <f>I14/B14*100</f>
        <v>12.9943502824859</v>
      </c>
      <c r="K14" s="155"/>
      <c r="L14" s="159"/>
    </row>
    <row r="15" spans="1:12">
      <c r="A15" s="139" t="s">
        <v>1569</v>
      </c>
      <c r="B15" s="140"/>
      <c r="C15" s="141"/>
      <c r="D15" s="136"/>
      <c r="E15" s="140"/>
      <c r="F15" s="140"/>
      <c r="G15" s="136"/>
      <c r="H15" s="140"/>
      <c r="I15" s="138">
        <f t="shared" si="1"/>
        <v>0</v>
      </c>
      <c r="J15" s="136"/>
      <c r="K15" s="155"/>
      <c r="L15" s="159"/>
    </row>
    <row r="16" spans="1:12">
      <c r="A16" s="142" t="s">
        <v>1570</v>
      </c>
      <c r="B16" s="140"/>
      <c r="C16" s="141"/>
      <c r="D16" s="136"/>
      <c r="E16" s="140"/>
      <c r="F16" s="140"/>
      <c r="G16" s="136"/>
      <c r="H16" s="140"/>
      <c r="I16" s="138">
        <f t="shared" si="1"/>
        <v>0</v>
      </c>
      <c r="J16" s="136"/>
      <c r="K16" s="155"/>
      <c r="L16" s="159"/>
    </row>
    <row r="17" spans="1:12">
      <c r="A17" s="139" t="s">
        <v>1571</v>
      </c>
      <c r="B17" s="140"/>
      <c r="C17" s="141"/>
      <c r="D17" s="136"/>
      <c r="E17" s="140"/>
      <c r="F17" s="140"/>
      <c r="G17" s="136"/>
      <c r="H17" s="140"/>
      <c r="I17" s="138">
        <f t="shared" si="1"/>
        <v>0</v>
      </c>
      <c r="J17" s="136"/>
      <c r="K17" s="155"/>
      <c r="L17" s="159"/>
    </row>
    <row r="18" spans="1:12">
      <c r="A18" s="139" t="s">
        <v>1572</v>
      </c>
      <c r="B18" s="140">
        <v>414</v>
      </c>
      <c r="C18" s="141"/>
      <c r="D18" s="136">
        <f>C18/B18*100</f>
        <v>0</v>
      </c>
      <c r="E18" s="140"/>
      <c r="F18" s="140">
        <f t="shared" si="3"/>
        <v>0</v>
      </c>
      <c r="G18" s="136"/>
      <c r="H18" s="140">
        <v>293</v>
      </c>
      <c r="I18" s="138">
        <f t="shared" si="1"/>
        <v>-121</v>
      </c>
      <c r="J18" s="136">
        <f>I18/B18*100</f>
        <v>-29.2270531400966</v>
      </c>
      <c r="K18" s="155"/>
      <c r="L18" s="159"/>
    </row>
    <row r="19" s="118" customFormat="1" spans="1:12">
      <c r="A19" s="139" t="s">
        <v>1573</v>
      </c>
      <c r="B19" s="140">
        <f>SUM(B20:B27)</f>
        <v>800</v>
      </c>
      <c r="C19" s="140"/>
      <c r="D19" s="136"/>
      <c r="E19" s="140">
        <f>SUM(E20:E27)</f>
        <v>0</v>
      </c>
      <c r="F19" s="140">
        <f t="shared" si="3"/>
        <v>0</v>
      </c>
      <c r="G19" s="136"/>
      <c r="H19" s="140">
        <f>SUM(H20:H27)</f>
        <v>0</v>
      </c>
      <c r="I19" s="138">
        <f t="shared" si="1"/>
        <v>-800</v>
      </c>
      <c r="J19" s="136">
        <f>I19/B19*100</f>
        <v>-100</v>
      </c>
      <c r="K19" s="155"/>
      <c r="L19" s="159"/>
    </row>
    <row r="20" spans="1:12">
      <c r="A20" s="139" t="s">
        <v>1574</v>
      </c>
      <c r="B20" s="140"/>
      <c r="C20" s="141"/>
      <c r="D20" s="136"/>
      <c r="E20" s="140"/>
      <c r="F20" s="140"/>
      <c r="G20" s="136"/>
      <c r="H20" s="140">
        <v>0</v>
      </c>
      <c r="I20" s="138">
        <f t="shared" si="1"/>
        <v>0</v>
      </c>
      <c r="J20" s="136"/>
      <c r="K20" s="155"/>
      <c r="L20" s="159"/>
    </row>
    <row r="21" spans="1:12">
      <c r="A21" s="142" t="s">
        <v>1575</v>
      </c>
      <c r="B21" s="140"/>
      <c r="C21" s="141"/>
      <c r="D21" s="136"/>
      <c r="E21" s="140"/>
      <c r="F21" s="140"/>
      <c r="G21" s="136"/>
      <c r="H21" s="140">
        <v>0</v>
      </c>
      <c r="I21" s="138">
        <f t="shared" si="1"/>
        <v>0</v>
      </c>
      <c r="J21" s="136"/>
      <c r="K21" s="155"/>
      <c r="L21" s="159"/>
    </row>
    <row r="22" spans="1:12">
      <c r="A22" s="142" t="s">
        <v>1576</v>
      </c>
      <c r="B22" s="140"/>
      <c r="C22" s="141"/>
      <c r="D22" s="136"/>
      <c r="E22" s="140"/>
      <c r="F22" s="140"/>
      <c r="G22" s="136"/>
      <c r="H22" s="140">
        <v>0</v>
      </c>
      <c r="I22" s="138">
        <f t="shared" si="1"/>
        <v>0</v>
      </c>
      <c r="J22" s="136"/>
      <c r="K22" s="155"/>
      <c r="L22" s="159"/>
    </row>
    <row r="23" spans="1:12">
      <c r="A23" s="139" t="s">
        <v>1577</v>
      </c>
      <c r="B23" s="140"/>
      <c r="C23" s="141"/>
      <c r="D23" s="136"/>
      <c r="E23" s="140"/>
      <c r="F23" s="140"/>
      <c r="G23" s="136"/>
      <c r="H23" s="140">
        <v>0</v>
      </c>
      <c r="I23" s="138">
        <f t="shared" si="1"/>
        <v>0</v>
      </c>
      <c r="J23" s="136"/>
      <c r="K23" s="155"/>
      <c r="L23" s="159"/>
    </row>
    <row r="24" spans="1:12">
      <c r="A24" s="139" t="s">
        <v>1578</v>
      </c>
      <c r="B24" s="140"/>
      <c r="C24" s="141"/>
      <c r="D24" s="136"/>
      <c r="E24" s="140"/>
      <c r="F24" s="140"/>
      <c r="G24" s="136"/>
      <c r="H24" s="140">
        <v>0</v>
      </c>
      <c r="I24" s="138">
        <f t="shared" si="1"/>
        <v>0</v>
      </c>
      <c r="J24" s="136"/>
      <c r="K24" s="155"/>
      <c r="L24" s="159"/>
    </row>
    <row r="25" spans="1:12">
      <c r="A25" s="143" t="s">
        <v>1579</v>
      </c>
      <c r="B25" s="140"/>
      <c r="C25" s="141"/>
      <c r="D25" s="136"/>
      <c r="E25" s="140"/>
      <c r="F25" s="140"/>
      <c r="G25" s="136"/>
      <c r="H25" s="140">
        <v>0</v>
      </c>
      <c r="I25" s="138">
        <f t="shared" si="1"/>
        <v>0</v>
      </c>
      <c r="J25" s="136"/>
      <c r="K25" s="155"/>
      <c r="L25" s="159"/>
    </row>
    <row r="26" spans="1:12">
      <c r="A26" s="142" t="s">
        <v>1580</v>
      </c>
      <c r="B26" s="140"/>
      <c r="C26" s="141"/>
      <c r="D26" s="136"/>
      <c r="E26" s="140"/>
      <c r="F26" s="140"/>
      <c r="G26" s="136"/>
      <c r="H26" s="140">
        <v>0</v>
      </c>
      <c r="I26" s="138">
        <f t="shared" si="1"/>
        <v>0</v>
      </c>
      <c r="J26" s="136"/>
      <c r="K26" s="155"/>
      <c r="L26" s="159"/>
    </row>
    <row r="27" spans="1:12">
      <c r="A27" s="139" t="s">
        <v>1581</v>
      </c>
      <c r="B27" s="140">
        <v>800</v>
      </c>
      <c r="C27" s="141"/>
      <c r="D27" s="136"/>
      <c r="E27" s="140"/>
      <c r="F27" s="140">
        <f>C27-E27</f>
        <v>0</v>
      </c>
      <c r="G27" s="136"/>
      <c r="H27" s="140"/>
      <c r="I27" s="138">
        <f t="shared" si="1"/>
        <v>-800</v>
      </c>
      <c r="J27" s="136">
        <f>I27/B27*100</f>
        <v>-100</v>
      </c>
      <c r="K27" s="155"/>
      <c r="L27" s="159"/>
    </row>
    <row r="28" s="118" customFormat="1" spans="1:12">
      <c r="A28" s="139" t="s">
        <v>1582</v>
      </c>
      <c r="B28" s="140"/>
      <c r="C28" s="141"/>
      <c r="D28" s="136"/>
      <c r="E28" s="140"/>
      <c r="F28" s="140"/>
      <c r="G28" s="136"/>
      <c r="H28" s="140">
        <v>0</v>
      </c>
      <c r="I28" s="138">
        <f t="shared" si="1"/>
        <v>0</v>
      </c>
      <c r="J28" s="136"/>
      <c r="K28" s="155"/>
      <c r="L28" s="159"/>
    </row>
    <row r="29" s="118" customFormat="1" spans="1:12">
      <c r="A29" s="139" t="s">
        <v>1583</v>
      </c>
      <c r="B29" s="140"/>
      <c r="C29" s="141"/>
      <c r="D29" s="136"/>
      <c r="E29" s="140"/>
      <c r="F29" s="140"/>
      <c r="G29" s="136"/>
      <c r="H29" s="140">
        <v>0</v>
      </c>
      <c r="I29" s="138">
        <f t="shared" si="1"/>
        <v>0</v>
      </c>
      <c r="J29" s="136"/>
      <c r="K29" s="155"/>
      <c r="L29" s="159"/>
    </row>
    <row r="30" spans="1:12">
      <c r="A30" s="139" t="s">
        <v>1584</v>
      </c>
      <c r="B30" s="140"/>
      <c r="C30" s="141"/>
      <c r="D30" s="136"/>
      <c r="E30" s="140"/>
      <c r="F30" s="140"/>
      <c r="G30" s="136"/>
      <c r="H30" s="140">
        <v>0</v>
      </c>
      <c r="I30" s="138">
        <f t="shared" si="1"/>
        <v>0</v>
      </c>
      <c r="J30" s="136"/>
      <c r="K30" s="155"/>
      <c r="L30" s="159"/>
    </row>
    <row r="31" spans="1:12">
      <c r="A31" s="142" t="s">
        <v>1585</v>
      </c>
      <c r="B31" s="140"/>
      <c r="C31" s="141"/>
      <c r="D31" s="136"/>
      <c r="E31" s="140"/>
      <c r="F31" s="140"/>
      <c r="G31" s="136"/>
      <c r="H31" s="140">
        <v>0</v>
      </c>
      <c r="I31" s="138">
        <f t="shared" si="1"/>
        <v>0</v>
      </c>
      <c r="J31" s="136"/>
      <c r="K31" s="155"/>
      <c r="L31" s="159"/>
    </row>
    <row r="32" spans="1:12">
      <c r="A32" s="139" t="s">
        <v>1586</v>
      </c>
      <c r="B32" s="144"/>
      <c r="C32" s="141"/>
      <c r="D32" s="136"/>
      <c r="E32" s="140"/>
      <c r="F32" s="140"/>
      <c r="G32" s="136"/>
      <c r="H32" s="140">
        <v>0</v>
      </c>
      <c r="I32" s="138">
        <f t="shared" si="1"/>
        <v>0</v>
      </c>
      <c r="J32" s="136"/>
      <c r="K32" s="155"/>
      <c r="L32" s="159"/>
    </row>
    <row r="33" s="118" customFormat="1" spans="1:12">
      <c r="A33" s="139" t="s">
        <v>1587</v>
      </c>
      <c r="B33" s="140">
        <v>4200</v>
      </c>
      <c r="C33" s="141"/>
      <c r="D33" s="136">
        <f>C33/B33*100</f>
        <v>0</v>
      </c>
      <c r="E33" s="140"/>
      <c r="F33" s="140">
        <f>C33-E33</f>
        <v>0</v>
      </c>
      <c r="G33" s="136"/>
      <c r="H33" s="140">
        <v>500</v>
      </c>
      <c r="I33" s="138">
        <f t="shared" si="1"/>
        <v>-3700</v>
      </c>
      <c r="J33" s="136">
        <f>I33/B33*100</f>
        <v>-88.0952380952381</v>
      </c>
      <c r="K33" s="155"/>
      <c r="L33" s="159"/>
    </row>
    <row r="34" s="117" customFormat="1" spans="1:12">
      <c r="A34" s="145" t="s">
        <v>1588</v>
      </c>
      <c r="B34" s="138">
        <f>B7+B8</f>
        <v>6122</v>
      </c>
      <c r="C34" s="138">
        <f t="shared" ref="C34:H34" si="4">C7+C8</f>
        <v>45</v>
      </c>
      <c r="D34" s="136">
        <f>C34/B34*100</f>
        <v>0.735053903952957</v>
      </c>
      <c r="E34" s="138">
        <f t="shared" si="4"/>
        <v>9</v>
      </c>
      <c r="F34" s="140"/>
      <c r="G34" s="136">
        <f>F34/E34*100</f>
        <v>0</v>
      </c>
      <c r="H34" s="138">
        <f t="shared" si="4"/>
        <v>1593</v>
      </c>
      <c r="I34" s="138">
        <f t="shared" si="1"/>
        <v>-4529</v>
      </c>
      <c r="J34" s="136">
        <f>I34/B34*100</f>
        <v>-73.9790918000653</v>
      </c>
      <c r="K34" s="156"/>
      <c r="L34" s="156"/>
    </row>
    <row r="35" s="117" customFormat="1" spans="1:12">
      <c r="A35" s="137" t="s">
        <v>1589</v>
      </c>
      <c r="B35" s="138">
        <f>SUM(B36:B38)</f>
        <v>9686</v>
      </c>
      <c r="C35" s="138">
        <f>SUM(C36:C38)</f>
        <v>6833</v>
      </c>
      <c r="D35" s="136"/>
      <c r="E35" s="138"/>
      <c r="F35" s="138"/>
      <c r="G35" s="138"/>
      <c r="H35" s="138">
        <f>SUM(H36:H38)</f>
        <v>5755</v>
      </c>
      <c r="I35" s="138"/>
      <c r="J35" s="160"/>
      <c r="K35" s="156"/>
      <c r="L35" s="156"/>
    </row>
    <row r="36" s="117" customFormat="1" spans="1:12">
      <c r="A36" s="146" t="s">
        <v>1590</v>
      </c>
      <c r="B36" s="138"/>
      <c r="C36" s="138"/>
      <c r="D36" s="136"/>
      <c r="E36" s="153"/>
      <c r="F36" s="138"/>
      <c r="G36" s="136"/>
      <c r="H36" s="138">
        <v>0</v>
      </c>
      <c r="I36" s="138"/>
      <c r="J36" s="160"/>
      <c r="K36" s="156"/>
      <c r="L36" s="156"/>
    </row>
    <row r="37" spans="1:12">
      <c r="A37" s="139" t="s">
        <v>1046</v>
      </c>
      <c r="B37" s="140">
        <v>9686</v>
      </c>
      <c r="C37" s="141">
        <v>5884</v>
      </c>
      <c r="D37" s="136"/>
      <c r="E37" s="135"/>
      <c r="F37" s="140"/>
      <c r="G37" s="154"/>
      <c r="H37" s="140">
        <f>4753+2+1000</f>
        <v>5755</v>
      </c>
      <c r="I37" s="140"/>
      <c r="J37" s="161"/>
      <c r="K37" s="155"/>
      <c r="L37" s="155"/>
    </row>
    <row r="38" spans="1:12">
      <c r="A38" s="139" t="s">
        <v>1048</v>
      </c>
      <c r="B38" s="140"/>
      <c r="C38" s="141">
        <v>949</v>
      </c>
      <c r="D38" s="136"/>
      <c r="E38" s="135"/>
      <c r="F38" s="140"/>
      <c r="G38" s="154"/>
      <c r="H38" s="140"/>
      <c r="I38" s="140"/>
      <c r="J38" s="161"/>
      <c r="K38" s="162"/>
      <c r="L38" s="162"/>
    </row>
    <row r="39" s="117" customFormat="1" spans="1:12">
      <c r="A39" s="145" t="s">
        <v>1050</v>
      </c>
      <c r="B39" s="138">
        <f>B35+B34</f>
        <v>15808</v>
      </c>
      <c r="C39" s="138">
        <f>C35+C34</f>
        <v>6878</v>
      </c>
      <c r="D39" s="136"/>
      <c r="E39" s="138"/>
      <c r="F39" s="138"/>
      <c r="G39" s="138"/>
      <c r="H39" s="138">
        <f>H35+H34</f>
        <v>7348</v>
      </c>
      <c r="I39" s="138"/>
      <c r="J39" s="160"/>
      <c r="K39" s="163"/>
      <c r="L39" s="163"/>
    </row>
    <row r="45" hidden="1"/>
    <row r="47" hidden="1"/>
    <row r="48" hidden="1"/>
    <row r="51" hidden="1"/>
    <row r="52" hidden="1"/>
    <row r="53" hidden="1"/>
  </sheetData>
  <mergeCells count="12">
    <mergeCell ref="A2:J2"/>
    <mergeCell ref="A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511805555555556" right="0.55" top="0.786805555555556" bottom="0.511805555555556" header="0.313888888888889" footer="0.432638888888889"/>
  <pageSetup paperSize="9" scale="83" orientation="landscape"/>
  <headerFooter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showZeros="0" view="pageBreakPreview" zoomScaleNormal="100" zoomScaleSheetLayoutView="100" workbookViewId="0">
      <selection activeCell="C34" sqref="C34"/>
    </sheetView>
  </sheetViews>
  <sheetFormatPr defaultColWidth="9" defaultRowHeight="14.25"/>
  <cols>
    <col min="1" max="1" width="38.25" style="118" customWidth="1"/>
    <col min="2" max="2" width="11" style="119" customWidth="1"/>
    <col min="3" max="3" width="12.8333333333333" style="120" customWidth="1"/>
    <col min="4" max="4" width="11.25" style="121" customWidth="1"/>
    <col min="5" max="5" width="12.3333333333333" style="121" hidden="1" customWidth="1"/>
    <col min="6" max="7" width="12.25" style="121" customWidth="1"/>
    <col min="8" max="8" width="12.25" style="119" customWidth="1"/>
    <col min="9" max="10" width="13.25" style="121" customWidth="1"/>
    <col min="11" max="256" width="9" style="118"/>
    <col min="257" max="257" width="37.0833333333333" style="118" customWidth="1"/>
    <col min="258" max="258" width="11" style="118" customWidth="1"/>
    <col min="259" max="259" width="12.8333333333333" style="118" customWidth="1"/>
    <col min="260" max="260" width="11.25" style="118" customWidth="1"/>
    <col min="261" max="261" width="12.3333333333333" style="118" customWidth="1"/>
    <col min="262" max="262" width="12.25" style="118" customWidth="1"/>
    <col min="263" max="263" width="10.0833333333333" style="118" customWidth="1"/>
    <col min="264" max="264" width="12.25" style="118" customWidth="1"/>
    <col min="265" max="265" width="12.0833333333333" style="118" customWidth="1"/>
    <col min="266" max="266" width="10.3333333333333" style="118" customWidth="1"/>
    <col min="267" max="512" width="9" style="118"/>
    <col min="513" max="513" width="37.0833333333333" style="118" customWidth="1"/>
    <col min="514" max="514" width="11" style="118" customWidth="1"/>
    <col min="515" max="515" width="12.8333333333333" style="118" customWidth="1"/>
    <col min="516" max="516" width="11.25" style="118" customWidth="1"/>
    <col min="517" max="517" width="12.3333333333333" style="118" customWidth="1"/>
    <col min="518" max="518" width="12.25" style="118" customWidth="1"/>
    <col min="519" max="519" width="10.0833333333333" style="118" customWidth="1"/>
    <col min="520" max="520" width="12.25" style="118" customWidth="1"/>
    <col min="521" max="521" width="12.0833333333333" style="118" customWidth="1"/>
    <col min="522" max="522" width="10.3333333333333" style="118" customWidth="1"/>
    <col min="523" max="768" width="9" style="118"/>
    <col min="769" max="769" width="37.0833333333333" style="118" customWidth="1"/>
    <col min="770" max="770" width="11" style="118" customWidth="1"/>
    <col min="771" max="771" width="12.8333333333333" style="118" customWidth="1"/>
    <col min="772" max="772" width="11.25" style="118" customWidth="1"/>
    <col min="773" max="773" width="12.3333333333333" style="118" customWidth="1"/>
    <col min="774" max="774" width="12.25" style="118" customWidth="1"/>
    <col min="775" max="775" width="10.0833333333333" style="118" customWidth="1"/>
    <col min="776" max="776" width="12.25" style="118" customWidth="1"/>
    <col min="777" max="777" width="12.0833333333333" style="118" customWidth="1"/>
    <col min="778" max="778" width="10.3333333333333" style="118" customWidth="1"/>
    <col min="779" max="1024" width="9" style="118"/>
    <col min="1025" max="1025" width="37.0833333333333" style="118" customWidth="1"/>
    <col min="1026" max="1026" width="11" style="118" customWidth="1"/>
    <col min="1027" max="1027" width="12.8333333333333" style="118" customWidth="1"/>
    <col min="1028" max="1028" width="11.25" style="118" customWidth="1"/>
    <col min="1029" max="1029" width="12.3333333333333" style="118" customWidth="1"/>
    <col min="1030" max="1030" width="12.25" style="118" customWidth="1"/>
    <col min="1031" max="1031" width="10.0833333333333" style="118" customWidth="1"/>
    <col min="1032" max="1032" width="12.25" style="118" customWidth="1"/>
    <col min="1033" max="1033" width="12.0833333333333" style="118" customWidth="1"/>
    <col min="1034" max="1034" width="10.3333333333333" style="118" customWidth="1"/>
    <col min="1035" max="1280" width="9" style="118"/>
    <col min="1281" max="1281" width="37.0833333333333" style="118" customWidth="1"/>
    <col min="1282" max="1282" width="11" style="118" customWidth="1"/>
    <col min="1283" max="1283" width="12.8333333333333" style="118" customWidth="1"/>
    <col min="1284" max="1284" width="11.25" style="118" customWidth="1"/>
    <col min="1285" max="1285" width="12.3333333333333" style="118" customWidth="1"/>
    <col min="1286" max="1286" width="12.25" style="118" customWidth="1"/>
    <col min="1287" max="1287" width="10.0833333333333" style="118" customWidth="1"/>
    <col min="1288" max="1288" width="12.25" style="118" customWidth="1"/>
    <col min="1289" max="1289" width="12.0833333333333" style="118" customWidth="1"/>
    <col min="1290" max="1290" width="10.3333333333333" style="118" customWidth="1"/>
    <col min="1291" max="1536" width="9" style="118"/>
    <col min="1537" max="1537" width="37.0833333333333" style="118" customWidth="1"/>
    <col min="1538" max="1538" width="11" style="118" customWidth="1"/>
    <col min="1539" max="1539" width="12.8333333333333" style="118" customWidth="1"/>
    <col min="1540" max="1540" width="11.25" style="118" customWidth="1"/>
    <col min="1541" max="1541" width="12.3333333333333" style="118" customWidth="1"/>
    <col min="1542" max="1542" width="12.25" style="118" customWidth="1"/>
    <col min="1543" max="1543" width="10.0833333333333" style="118" customWidth="1"/>
    <col min="1544" max="1544" width="12.25" style="118" customWidth="1"/>
    <col min="1545" max="1545" width="12.0833333333333" style="118" customWidth="1"/>
    <col min="1546" max="1546" width="10.3333333333333" style="118" customWidth="1"/>
    <col min="1547" max="1792" width="9" style="118"/>
    <col min="1793" max="1793" width="37.0833333333333" style="118" customWidth="1"/>
    <col min="1794" max="1794" width="11" style="118" customWidth="1"/>
    <col min="1795" max="1795" width="12.8333333333333" style="118" customWidth="1"/>
    <col min="1796" max="1796" width="11.25" style="118" customWidth="1"/>
    <col min="1797" max="1797" width="12.3333333333333" style="118" customWidth="1"/>
    <col min="1798" max="1798" width="12.25" style="118" customWidth="1"/>
    <col min="1799" max="1799" width="10.0833333333333" style="118" customWidth="1"/>
    <col min="1800" max="1800" width="12.25" style="118" customWidth="1"/>
    <col min="1801" max="1801" width="12.0833333333333" style="118" customWidth="1"/>
    <col min="1802" max="1802" width="10.3333333333333" style="118" customWidth="1"/>
    <col min="1803" max="2048" width="9" style="118"/>
    <col min="2049" max="2049" width="37.0833333333333" style="118" customWidth="1"/>
    <col min="2050" max="2050" width="11" style="118" customWidth="1"/>
    <col min="2051" max="2051" width="12.8333333333333" style="118" customWidth="1"/>
    <col min="2052" max="2052" width="11.25" style="118" customWidth="1"/>
    <col min="2053" max="2053" width="12.3333333333333" style="118" customWidth="1"/>
    <col min="2054" max="2054" width="12.25" style="118" customWidth="1"/>
    <col min="2055" max="2055" width="10.0833333333333" style="118" customWidth="1"/>
    <col min="2056" max="2056" width="12.25" style="118" customWidth="1"/>
    <col min="2057" max="2057" width="12.0833333333333" style="118" customWidth="1"/>
    <col min="2058" max="2058" width="10.3333333333333" style="118" customWidth="1"/>
    <col min="2059" max="2304" width="9" style="118"/>
    <col min="2305" max="2305" width="37.0833333333333" style="118" customWidth="1"/>
    <col min="2306" max="2306" width="11" style="118" customWidth="1"/>
    <col min="2307" max="2307" width="12.8333333333333" style="118" customWidth="1"/>
    <col min="2308" max="2308" width="11.25" style="118" customWidth="1"/>
    <col min="2309" max="2309" width="12.3333333333333" style="118" customWidth="1"/>
    <col min="2310" max="2310" width="12.25" style="118" customWidth="1"/>
    <col min="2311" max="2311" width="10.0833333333333" style="118" customWidth="1"/>
    <col min="2312" max="2312" width="12.25" style="118" customWidth="1"/>
    <col min="2313" max="2313" width="12.0833333333333" style="118" customWidth="1"/>
    <col min="2314" max="2314" width="10.3333333333333" style="118" customWidth="1"/>
    <col min="2315" max="2560" width="9" style="118"/>
    <col min="2561" max="2561" width="37.0833333333333" style="118" customWidth="1"/>
    <col min="2562" max="2562" width="11" style="118" customWidth="1"/>
    <col min="2563" max="2563" width="12.8333333333333" style="118" customWidth="1"/>
    <col min="2564" max="2564" width="11.25" style="118" customWidth="1"/>
    <col min="2565" max="2565" width="12.3333333333333" style="118" customWidth="1"/>
    <col min="2566" max="2566" width="12.25" style="118" customWidth="1"/>
    <col min="2567" max="2567" width="10.0833333333333" style="118" customWidth="1"/>
    <col min="2568" max="2568" width="12.25" style="118" customWidth="1"/>
    <col min="2569" max="2569" width="12.0833333333333" style="118" customWidth="1"/>
    <col min="2570" max="2570" width="10.3333333333333" style="118" customWidth="1"/>
    <col min="2571" max="2816" width="9" style="118"/>
    <col min="2817" max="2817" width="37.0833333333333" style="118" customWidth="1"/>
    <col min="2818" max="2818" width="11" style="118" customWidth="1"/>
    <col min="2819" max="2819" width="12.8333333333333" style="118" customWidth="1"/>
    <col min="2820" max="2820" width="11.25" style="118" customWidth="1"/>
    <col min="2821" max="2821" width="12.3333333333333" style="118" customWidth="1"/>
    <col min="2822" max="2822" width="12.25" style="118" customWidth="1"/>
    <col min="2823" max="2823" width="10.0833333333333" style="118" customWidth="1"/>
    <col min="2824" max="2824" width="12.25" style="118" customWidth="1"/>
    <col min="2825" max="2825" width="12.0833333333333" style="118" customWidth="1"/>
    <col min="2826" max="2826" width="10.3333333333333" style="118" customWidth="1"/>
    <col min="2827" max="3072" width="9" style="118"/>
    <col min="3073" max="3073" width="37.0833333333333" style="118" customWidth="1"/>
    <col min="3074" max="3074" width="11" style="118" customWidth="1"/>
    <col min="3075" max="3075" width="12.8333333333333" style="118" customWidth="1"/>
    <col min="3076" max="3076" width="11.25" style="118" customWidth="1"/>
    <col min="3077" max="3077" width="12.3333333333333" style="118" customWidth="1"/>
    <col min="3078" max="3078" width="12.25" style="118" customWidth="1"/>
    <col min="3079" max="3079" width="10.0833333333333" style="118" customWidth="1"/>
    <col min="3080" max="3080" width="12.25" style="118" customWidth="1"/>
    <col min="3081" max="3081" width="12.0833333333333" style="118" customWidth="1"/>
    <col min="3082" max="3082" width="10.3333333333333" style="118" customWidth="1"/>
    <col min="3083" max="3328" width="9" style="118"/>
    <col min="3329" max="3329" width="37.0833333333333" style="118" customWidth="1"/>
    <col min="3330" max="3330" width="11" style="118" customWidth="1"/>
    <col min="3331" max="3331" width="12.8333333333333" style="118" customWidth="1"/>
    <col min="3332" max="3332" width="11.25" style="118" customWidth="1"/>
    <col min="3333" max="3333" width="12.3333333333333" style="118" customWidth="1"/>
    <col min="3334" max="3334" width="12.25" style="118" customWidth="1"/>
    <col min="3335" max="3335" width="10.0833333333333" style="118" customWidth="1"/>
    <col min="3336" max="3336" width="12.25" style="118" customWidth="1"/>
    <col min="3337" max="3337" width="12.0833333333333" style="118" customWidth="1"/>
    <col min="3338" max="3338" width="10.3333333333333" style="118" customWidth="1"/>
    <col min="3339" max="3584" width="9" style="118"/>
    <col min="3585" max="3585" width="37.0833333333333" style="118" customWidth="1"/>
    <col min="3586" max="3586" width="11" style="118" customWidth="1"/>
    <col min="3587" max="3587" width="12.8333333333333" style="118" customWidth="1"/>
    <col min="3588" max="3588" width="11.25" style="118" customWidth="1"/>
    <col min="3589" max="3589" width="12.3333333333333" style="118" customWidth="1"/>
    <col min="3590" max="3590" width="12.25" style="118" customWidth="1"/>
    <col min="3591" max="3591" width="10.0833333333333" style="118" customWidth="1"/>
    <col min="3592" max="3592" width="12.25" style="118" customWidth="1"/>
    <col min="3593" max="3593" width="12.0833333333333" style="118" customWidth="1"/>
    <col min="3594" max="3594" width="10.3333333333333" style="118" customWidth="1"/>
    <col min="3595" max="3840" width="9" style="118"/>
    <col min="3841" max="3841" width="37.0833333333333" style="118" customWidth="1"/>
    <col min="3842" max="3842" width="11" style="118" customWidth="1"/>
    <col min="3843" max="3843" width="12.8333333333333" style="118" customWidth="1"/>
    <col min="3844" max="3844" width="11.25" style="118" customWidth="1"/>
    <col min="3845" max="3845" width="12.3333333333333" style="118" customWidth="1"/>
    <col min="3846" max="3846" width="12.25" style="118" customWidth="1"/>
    <col min="3847" max="3847" width="10.0833333333333" style="118" customWidth="1"/>
    <col min="3848" max="3848" width="12.25" style="118" customWidth="1"/>
    <col min="3849" max="3849" width="12.0833333333333" style="118" customWidth="1"/>
    <col min="3850" max="3850" width="10.3333333333333" style="118" customWidth="1"/>
    <col min="3851" max="4096" width="9" style="118"/>
    <col min="4097" max="4097" width="37.0833333333333" style="118" customWidth="1"/>
    <col min="4098" max="4098" width="11" style="118" customWidth="1"/>
    <col min="4099" max="4099" width="12.8333333333333" style="118" customWidth="1"/>
    <col min="4100" max="4100" width="11.25" style="118" customWidth="1"/>
    <col min="4101" max="4101" width="12.3333333333333" style="118" customWidth="1"/>
    <col min="4102" max="4102" width="12.25" style="118" customWidth="1"/>
    <col min="4103" max="4103" width="10.0833333333333" style="118" customWidth="1"/>
    <col min="4104" max="4104" width="12.25" style="118" customWidth="1"/>
    <col min="4105" max="4105" width="12.0833333333333" style="118" customWidth="1"/>
    <col min="4106" max="4106" width="10.3333333333333" style="118" customWidth="1"/>
    <col min="4107" max="4352" width="9" style="118"/>
    <col min="4353" max="4353" width="37.0833333333333" style="118" customWidth="1"/>
    <col min="4354" max="4354" width="11" style="118" customWidth="1"/>
    <col min="4355" max="4355" width="12.8333333333333" style="118" customWidth="1"/>
    <col min="4356" max="4356" width="11.25" style="118" customWidth="1"/>
    <col min="4357" max="4357" width="12.3333333333333" style="118" customWidth="1"/>
    <col min="4358" max="4358" width="12.25" style="118" customWidth="1"/>
    <col min="4359" max="4359" width="10.0833333333333" style="118" customWidth="1"/>
    <col min="4360" max="4360" width="12.25" style="118" customWidth="1"/>
    <col min="4361" max="4361" width="12.0833333333333" style="118" customWidth="1"/>
    <col min="4362" max="4362" width="10.3333333333333" style="118" customWidth="1"/>
    <col min="4363" max="4608" width="9" style="118"/>
    <col min="4609" max="4609" width="37.0833333333333" style="118" customWidth="1"/>
    <col min="4610" max="4610" width="11" style="118" customWidth="1"/>
    <col min="4611" max="4611" width="12.8333333333333" style="118" customWidth="1"/>
    <col min="4612" max="4612" width="11.25" style="118" customWidth="1"/>
    <col min="4613" max="4613" width="12.3333333333333" style="118" customWidth="1"/>
    <col min="4614" max="4614" width="12.25" style="118" customWidth="1"/>
    <col min="4615" max="4615" width="10.0833333333333" style="118" customWidth="1"/>
    <col min="4616" max="4616" width="12.25" style="118" customWidth="1"/>
    <col min="4617" max="4617" width="12.0833333333333" style="118" customWidth="1"/>
    <col min="4618" max="4618" width="10.3333333333333" style="118" customWidth="1"/>
    <col min="4619" max="4864" width="9" style="118"/>
    <col min="4865" max="4865" width="37.0833333333333" style="118" customWidth="1"/>
    <col min="4866" max="4866" width="11" style="118" customWidth="1"/>
    <col min="4867" max="4867" width="12.8333333333333" style="118" customWidth="1"/>
    <col min="4868" max="4868" width="11.25" style="118" customWidth="1"/>
    <col min="4869" max="4869" width="12.3333333333333" style="118" customWidth="1"/>
    <col min="4870" max="4870" width="12.25" style="118" customWidth="1"/>
    <col min="4871" max="4871" width="10.0833333333333" style="118" customWidth="1"/>
    <col min="4872" max="4872" width="12.25" style="118" customWidth="1"/>
    <col min="4873" max="4873" width="12.0833333333333" style="118" customWidth="1"/>
    <col min="4874" max="4874" width="10.3333333333333" style="118" customWidth="1"/>
    <col min="4875" max="5120" width="9" style="118"/>
    <col min="5121" max="5121" width="37.0833333333333" style="118" customWidth="1"/>
    <col min="5122" max="5122" width="11" style="118" customWidth="1"/>
    <col min="5123" max="5123" width="12.8333333333333" style="118" customWidth="1"/>
    <col min="5124" max="5124" width="11.25" style="118" customWidth="1"/>
    <col min="5125" max="5125" width="12.3333333333333" style="118" customWidth="1"/>
    <col min="5126" max="5126" width="12.25" style="118" customWidth="1"/>
    <col min="5127" max="5127" width="10.0833333333333" style="118" customWidth="1"/>
    <col min="5128" max="5128" width="12.25" style="118" customWidth="1"/>
    <col min="5129" max="5129" width="12.0833333333333" style="118" customWidth="1"/>
    <col min="5130" max="5130" width="10.3333333333333" style="118" customWidth="1"/>
    <col min="5131" max="5376" width="9" style="118"/>
    <col min="5377" max="5377" width="37.0833333333333" style="118" customWidth="1"/>
    <col min="5378" max="5378" width="11" style="118" customWidth="1"/>
    <col min="5379" max="5379" width="12.8333333333333" style="118" customWidth="1"/>
    <col min="5380" max="5380" width="11.25" style="118" customWidth="1"/>
    <col min="5381" max="5381" width="12.3333333333333" style="118" customWidth="1"/>
    <col min="5382" max="5382" width="12.25" style="118" customWidth="1"/>
    <col min="5383" max="5383" width="10.0833333333333" style="118" customWidth="1"/>
    <col min="5384" max="5384" width="12.25" style="118" customWidth="1"/>
    <col min="5385" max="5385" width="12.0833333333333" style="118" customWidth="1"/>
    <col min="5386" max="5386" width="10.3333333333333" style="118" customWidth="1"/>
    <col min="5387" max="5632" width="9" style="118"/>
    <col min="5633" max="5633" width="37.0833333333333" style="118" customWidth="1"/>
    <col min="5634" max="5634" width="11" style="118" customWidth="1"/>
    <col min="5635" max="5635" width="12.8333333333333" style="118" customWidth="1"/>
    <col min="5636" max="5636" width="11.25" style="118" customWidth="1"/>
    <col min="5637" max="5637" width="12.3333333333333" style="118" customWidth="1"/>
    <col min="5638" max="5638" width="12.25" style="118" customWidth="1"/>
    <col min="5639" max="5639" width="10.0833333333333" style="118" customWidth="1"/>
    <col min="5640" max="5640" width="12.25" style="118" customWidth="1"/>
    <col min="5641" max="5641" width="12.0833333333333" style="118" customWidth="1"/>
    <col min="5642" max="5642" width="10.3333333333333" style="118" customWidth="1"/>
    <col min="5643" max="5888" width="9" style="118"/>
    <col min="5889" max="5889" width="37.0833333333333" style="118" customWidth="1"/>
    <col min="5890" max="5890" width="11" style="118" customWidth="1"/>
    <col min="5891" max="5891" width="12.8333333333333" style="118" customWidth="1"/>
    <col min="5892" max="5892" width="11.25" style="118" customWidth="1"/>
    <col min="5893" max="5893" width="12.3333333333333" style="118" customWidth="1"/>
    <col min="5894" max="5894" width="12.25" style="118" customWidth="1"/>
    <col min="5895" max="5895" width="10.0833333333333" style="118" customWidth="1"/>
    <col min="5896" max="5896" width="12.25" style="118" customWidth="1"/>
    <col min="5897" max="5897" width="12.0833333333333" style="118" customWidth="1"/>
    <col min="5898" max="5898" width="10.3333333333333" style="118" customWidth="1"/>
    <col min="5899" max="6144" width="9" style="118"/>
    <col min="6145" max="6145" width="37.0833333333333" style="118" customWidth="1"/>
    <col min="6146" max="6146" width="11" style="118" customWidth="1"/>
    <col min="6147" max="6147" width="12.8333333333333" style="118" customWidth="1"/>
    <col min="6148" max="6148" width="11.25" style="118" customWidth="1"/>
    <col min="6149" max="6149" width="12.3333333333333" style="118" customWidth="1"/>
    <col min="6150" max="6150" width="12.25" style="118" customWidth="1"/>
    <col min="6151" max="6151" width="10.0833333333333" style="118" customWidth="1"/>
    <col min="6152" max="6152" width="12.25" style="118" customWidth="1"/>
    <col min="6153" max="6153" width="12.0833333333333" style="118" customWidth="1"/>
    <col min="6154" max="6154" width="10.3333333333333" style="118" customWidth="1"/>
    <col min="6155" max="6400" width="9" style="118"/>
    <col min="6401" max="6401" width="37.0833333333333" style="118" customWidth="1"/>
    <col min="6402" max="6402" width="11" style="118" customWidth="1"/>
    <col min="6403" max="6403" width="12.8333333333333" style="118" customWidth="1"/>
    <col min="6404" max="6404" width="11.25" style="118" customWidth="1"/>
    <col min="6405" max="6405" width="12.3333333333333" style="118" customWidth="1"/>
    <col min="6406" max="6406" width="12.25" style="118" customWidth="1"/>
    <col min="6407" max="6407" width="10.0833333333333" style="118" customWidth="1"/>
    <col min="6408" max="6408" width="12.25" style="118" customWidth="1"/>
    <col min="6409" max="6409" width="12.0833333333333" style="118" customWidth="1"/>
    <col min="6410" max="6410" width="10.3333333333333" style="118" customWidth="1"/>
    <col min="6411" max="6656" width="9" style="118"/>
    <col min="6657" max="6657" width="37.0833333333333" style="118" customWidth="1"/>
    <col min="6658" max="6658" width="11" style="118" customWidth="1"/>
    <col min="6659" max="6659" width="12.8333333333333" style="118" customWidth="1"/>
    <col min="6660" max="6660" width="11.25" style="118" customWidth="1"/>
    <col min="6661" max="6661" width="12.3333333333333" style="118" customWidth="1"/>
    <col min="6662" max="6662" width="12.25" style="118" customWidth="1"/>
    <col min="6663" max="6663" width="10.0833333333333" style="118" customWidth="1"/>
    <col min="6664" max="6664" width="12.25" style="118" customWidth="1"/>
    <col min="6665" max="6665" width="12.0833333333333" style="118" customWidth="1"/>
    <col min="6666" max="6666" width="10.3333333333333" style="118" customWidth="1"/>
    <col min="6667" max="6912" width="9" style="118"/>
    <col min="6913" max="6913" width="37.0833333333333" style="118" customWidth="1"/>
    <col min="6914" max="6914" width="11" style="118" customWidth="1"/>
    <col min="6915" max="6915" width="12.8333333333333" style="118" customWidth="1"/>
    <col min="6916" max="6916" width="11.25" style="118" customWidth="1"/>
    <col min="6917" max="6917" width="12.3333333333333" style="118" customWidth="1"/>
    <col min="6918" max="6918" width="12.25" style="118" customWidth="1"/>
    <col min="6919" max="6919" width="10.0833333333333" style="118" customWidth="1"/>
    <col min="6920" max="6920" width="12.25" style="118" customWidth="1"/>
    <col min="6921" max="6921" width="12.0833333333333" style="118" customWidth="1"/>
    <col min="6922" max="6922" width="10.3333333333333" style="118" customWidth="1"/>
    <col min="6923" max="7168" width="9" style="118"/>
    <col min="7169" max="7169" width="37.0833333333333" style="118" customWidth="1"/>
    <col min="7170" max="7170" width="11" style="118" customWidth="1"/>
    <col min="7171" max="7171" width="12.8333333333333" style="118" customWidth="1"/>
    <col min="7172" max="7172" width="11.25" style="118" customWidth="1"/>
    <col min="7173" max="7173" width="12.3333333333333" style="118" customWidth="1"/>
    <col min="7174" max="7174" width="12.25" style="118" customWidth="1"/>
    <col min="7175" max="7175" width="10.0833333333333" style="118" customWidth="1"/>
    <col min="7176" max="7176" width="12.25" style="118" customWidth="1"/>
    <col min="7177" max="7177" width="12.0833333333333" style="118" customWidth="1"/>
    <col min="7178" max="7178" width="10.3333333333333" style="118" customWidth="1"/>
    <col min="7179" max="7424" width="9" style="118"/>
    <col min="7425" max="7425" width="37.0833333333333" style="118" customWidth="1"/>
    <col min="7426" max="7426" width="11" style="118" customWidth="1"/>
    <col min="7427" max="7427" width="12.8333333333333" style="118" customWidth="1"/>
    <col min="7428" max="7428" width="11.25" style="118" customWidth="1"/>
    <col min="7429" max="7429" width="12.3333333333333" style="118" customWidth="1"/>
    <col min="7430" max="7430" width="12.25" style="118" customWidth="1"/>
    <col min="7431" max="7431" width="10.0833333333333" style="118" customWidth="1"/>
    <col min="7432" max="7432" width="12.25" style="118" customWidth="1"/>
    <col min="7433" max="7433" width="12.0833333333333" style="118" customWidth="1"/>
    <col min="7434" max="7434" width="10.3333333333333" style="118" customWidth="1"/>
    <col min="7435" max="7680" width="9" style="118"/>
    <col min="7681" max="7681" width="37.0833333333333" style="118" customWidth="1"/>
    <col min="7682" max="7682" width="11" style="118" customWidth="1"/>
    <col min="7683" max="7683" width="12.8333333333333" style="118" customWidth="1"/>
    <col min="7684" max="7684" width="11.25" style="118" customWidth="1"/>
    <col min="7685" max="7685" width="12.3333333333333" style="118" customWidth="1"/>
    <col min="7686" max="7686" width="12.25" style="118" customWidth="1"/>
    <col min="7687" max="7687" width="10.0833333333333" style="118" customWidth="1"/>
    <col min="7688" max="7688" width="12.25" style="118" customWidth="1"/>
    <col min="7689" max="7689" width="12.0833333333333" style="118" customWidth="1"/>
    <col min="7690" max="7690" width="10.3333333333333" style="118" customWidth="1"/>
    <col min="7691" max="7936" width="9" style="118"/>
    <col min="7937" max="7937" width="37.0833333333333" style="118" customWidth="1"/>
    <col min="7938" max="7938" width="11" style="118" customWidth="1"/>
    <col min="7939" max="7939" width="12.8333333333333" style="118" customWidth="1"/>
    <col min="7940" max="7940" width="11.25" style="118" customWidth="1"/>
    <col min="7941" max="7941" width="12.3333333333333" style="118" customWidth="1"/>
    <col min="7942" max="7942" width="12.25" style="118" customWidth="1"/>
    <col min="7943" max="7943" width="10.0833333333333" style="118" customWidth="1"/>
    <col min="7944" max="7944" width="12.25" style="118" customWidth="1"/>
    <col min="7945" max="7945" width="12.0833333333333" style="118" customWidth="1"/>
    <col min="7946" max="7946" width="10.3333333333333" style="118" customWidth="1"/>
    <col min="7947" max="8192" width="9" style="118"/>
    <col min="8193" max="8193" width="37.0833333333333" style="118" customWidth="1"/>
    <col min="8194" max="8194" width="11" style="118" customWidth="1"/>
    <col min="8195" max="8195" width="12.8333333333333" style="118" customWidth="1"/>
    <col min="8196" max="8196" width="11.25" style="118" customWidth="1"/>
    <col min="8197" max="8197" width="12.3333333333333" style="118" customWidth="1"/>
    <col min="8198" max="8198" width="12.25" style="118" customWidth="1"/>
    <col min="8199" max="8199" width="10.0833333333333" style="118" customWidth="1"/>
    <col min="8200" max="8200" width="12.25" style="118" customWidth="1"/>
    <col min="8201" max="8201" width="12.0833333333333" style="118" customWidth="1"/>
    <col min="8202" max="8202" width="10.3333333333333" style="118" customWidth="1"/>
    <col min="8203" max="8448" width="9" style="118"/>
    <col min="8449" max="8449" width="37.0833333333333" style="118" customWidth="1"/>
    <col min="8450" max="8450" width="11" style="118" customWidth="1"/>
    <col min="8451" max="8451" width="12.8333333333333" style="118" customWidth="1"/>
    <col min="8452" max="8452" width="11.25" style="118" customWidth="1"/>
    <col min="8453" max="8453" width="12.3333333333333" style="118" customWidth="1"/>
    <col min="8454" max="8454" width="12.25" style="118" customWidth="1"/>
    <col min="8455" max="8455" width="10.0833333333333" style="118" customWidth="1"/>
    <col min="8456" max="8456" width="12.25" style="118" customWidth="1"/>
    <col min="8457" max="8457" width="12.0833333333333" style="118" customWidth="1"/>
    <col min="8458" max="8458" width="10.3333333333333" style="118" customWidth="1"/>
    <col min="8459" max="8704" width="9" style="118"/>
    <col min="8705" max="8705" width="37.0833333333333" style="118" customWidth="1"/>
    <col min="8706" max="8706" width="11" style="118" customWidth="1"/>
    <col min="8707" max="8707" width="12.8333333333333" style="118" customWidth="1"/>
    <col min="8708" max="8708" width="11.25" style="118" customWidth="1"/>
    <col min="8709" max="8709" width="12.3333333333333" style="118" customWidth="1"/>
    <col min="8710" max="8710" width="12.25" style="118" customWidth="1"/>
    <col min="8711" max="8711" width="10.0833333333333" style="118" customWidth="1"/>
    <col min="8712" max="8712" width="12.25" style="118" customWidth="1"/>
    <col min="8713" max="8713" width="12.0833333333333" style="118" customWidth="1"/>
    <col min="8714" max="8714" width="10.3333333333333" style="118" customWidth="1"/>
    <col min="8715" max="8960" width="9" style="118"/>
    <col min="8961" max="8961" width="37.0833333333333" style="118" customWidth="1"/>
    <col min="8962" max="8962" width="11" style="118" customWidth="1"/>
    <col min="8963" max="8963" width="12.8333333333333" style="118" customWidth="1"/>
    <col min="8964" max="8964" width="11.25" style="118" customWidth="1"/>
    <col min="8965" max="8965" width="12.3333333333333" style="118" customWidth="1"/>
    <col min="8966" max="8966" width="12.25" style="118" customWidth="1"/>
    <col min="8967" max="8967" width="10.0833333333333" style="118" customWidth="1"/>
    <col min="8968" max="8968" width="12.25" style="118" customWidth="1"/>
    <col min="8969" max="8969" width="12.0833333333333" style="118" customWidth="1"/>
    <col min="8970" max="8970" width="10.3333333333333" style="118" customWidth="1"/>
    <col min="8971" max="9216" width="9" style="118"/>
    <col min="9217" max="9217" width="37.0833333333333" style="118" customWidth="1"/>
    <col min="9218" max="9218" width="11" style="118" customWidth="1"/>
    <col min="9219" max="9219" width="12.8333333333333" style="118" customWidth="1"/>
    <col min="9220" max="9220" width="11.25" style="118" customWidth="1"/>
    <col min="9221" max="9221" width="12.3333333333333" style="118" customWidth="1"/>
    <col min="9222" max="9222" width="12.25" style="118" customWidth="1"/>
    <col min="9223" max="9223" width="10.0833333333333" style="118" customWidth="1"/>
    <col min="9224" max="9224" width="12.25" style="118" customWidth="1"/>
    <col min="9225" max="9225" width="12.0833333333333" style="118" customWidth="1"/>
    <col min="9226" max="9226" width="10.3333333333333" style="118" customWidth="1"/>
    <col min="9227" max="9472" width="9" style="118"/>
    <col min="9473" max="9473" width="37.0833333333333" style="118" customWidth="1"/>
    <col min="9474" max="9474" width="11" style="118" customWidth="1"/>
    <col min="9475" max="9475" width="12.8333333333333" style="118" customWidth="1"/>
    <col min="9476" max="9476" width="11.25" style="118" customWidth="1"/>
    <col min="9477" max="9477" width="12.3333333333333" style="118" customWidth="1"/>
    <col min="9478" max="9478" width="12.25" style="118" customWidth="1"/>
    <col min="9479" max="9479" width="10.0833333333333" style="118" customWidth="1"/>
    <col min="9480" max="9480" width="12.25" style="118" customWidth="1"/>
    <col min="9481" max="9481" width="12.0833333333333" style="118" customWidth="1"/>
    <col min="9482" max="9482" width="10.3333333333333" style="118" customWidth="1"/>
    <col min="9483" max="9728" width="9" style="118"/>
    <col min="9729" max="9729" width="37.0833333333333" style="118" customWidth="1"/>
    <col min="9730" max="9730" width="11" style="118" customWidth="1"/>
    <col min="9731" max="9731" width="12.8333333333333" style="118" customWidth="1"/>
    <col min="9732" max="9732" width="11.25" style="118" customWidth="1"/>
    <col min="9733" max="9733" width="12.3333333333333" style="118" customWidth="1"/>
    <col min="9734" max="9734" width="12.25" style="118" customWidth="1"/>
    <col min="9735" max="9735" width="10.0833333333333" style="118" customWidth="1"/>
    <col min="9736" max="9736" width="12.25" style="118" customWidth="1"/>
    <col min="9737" max="9737" width="12.0833333333333" style="118" customWidth="1"/>
    <col min="9738" max="9738" width="10.3333333333333" style="118" customWidth="1"/>
    <col min="9739" max="9984" width="9" style="118"/>
    <col min="9985" max="9985" width="37.0833333333333" style="118" customWidth="1"/>
    <col min="9986" max="9986" width="11" style="118" customWidth="1"/>
    <col min="9987" max="9987" width="12.8333333333333" style="118" customWidth="1"/>
    <col min="9988" max="9988" width="11.25" style="118" customWidth="1"/>
    <col min="9989" max="9989" width="12.3333333333333" style="118" customWidth="1"/>
    <col min="9990" max="9990" width="12.25" style="118" customWidth="1"/>
    <col min="9991" max="9991" width="10.0833333333333" style="118" customWidth="1"/>
    <col min="9992" max="9992" width="12.25" style="118" customWidth="1"/>
    <col min="9993" max="9993" width="12.0833333333333" style="118" customWidth="1"/>
    <col min="9994" max="9994" width="10.3333333333333" style="118" customWidth="1"/>
    <col min="9995" max="10240" width="9" style="118"/>
    <col min="10241" max="10241" width="37.0833333333333" style="118" customWidth="1"/>
    <col min="10242" max="10242" width="11" style="118" customWidth="1"/>
    <col min="10243" max="10243" width="12.8333333333333" style="118" customWidth="1"/>
    <col min="10244" max="10244" width="11.25" style="118" customWidth="1"/>
    <col min="10245" max="10245" width="12.3333333333333" style="118" customWidth="1"/>
    <col min="10246" max="10246" width="12.25" style="118" customWidth="1"/>
    <col min="10247" max="10247" width="10.0833333333333" style="118" customWidth="1"/>
    <col min="10248" max="10248" width="12.25" style="118" customWidth="1"/>
    <col min="10249" max="10249" width="12.0833333333333" style="118" customWidth="1"/>
    <col min="10250" max="10250" width="10.3333333333333" style="118" customWidth="1"/>
    <col min="10251" max="10496" width="9" style="118"/>
    <col min="10497" max="10497" width="37.0833333333333" style="118" customWidth="1"/>
    <col min="10498" max="10498" width="11" style="118" customWidth="1"/>
    <col min="10499" max="10499" width="12.8333333333333" style="118" customWidth="1"/>
    <col min="10500" max="10500" width="11.25" style="118" customWidth="1"/>
    <col min="10501" max="10501" width="12.3333333333333" style="118" customWidth="1"/>
    <col min="10502" max="10502" width="12.25" style="118" customWidth="1"/>
    <col min="10503" max="10503" width="10.0833333333333" style="118" customWidth="1"/>
    <col min="10504" max="10504" width="12.25" style="118" customWidth="1"/>
    <col min="10505" max="10505" width="12.0833333333333" style="118" customWidth="1"/>
    <col min="10506" max="10506" width="10.3333333333333" style="118" customWidth="1"/>
    <col min="10507" max="10752" width="9" style="118"/>
    <col min="10753" max="10753" width="37.0833333333333" style="118" customWidth="1"/>
    <col min="10754" max="10754" width="11" style="118" customWidth="1"/>
    <col min="10755" max="10755" width="12.8333333333333" style="118" customWidth="1"/>
    <col min="10756" max="10756" width="11.25" style="118" customWidth="1"/>
    <col min="10757" max="10757" width="12.3333333333333" style="118" customWidth="1"/>
    <col min="10758" max="10758" width="12.25" style="118" customWidth="1"/>
    <col min="10759" max="10759" width="10.0833333333333" style="118" customWidth="1"/>
    <col min="10760" max="10760" width="12.25" style="118" customWidth="1"/>
    <col min="10761" max="10761" width="12.0833333333333" style="118" customWidth="1"/>
    <col min="10762" max="10762" width="10.3333333333333" style="118" customWidth="1"/>
    <col min="10763" max="11008" width="9" style="118"/>
    <col min="11009" max="11009" width="37.0833333333333" style="118" customWidth="1"/>
    <col min="11010" max="11010" width="11" style="118" customWidth="1"/>
    <col min="11011" max="11011" width="12.8333333333333" style="118" customWidth="1"/>
    <col min="11012" max="11012" width="11.25" style="118" customWidth="1"/>
    <col min="11013" max="11013" width="12.3333333333333" style="118" customWidth="1"/>
    <col min="11014" max="11014" width="12.25" style="118" customWidth="1"/>
    <col min="11015" max="11015" width="10.0833333333333" style="118" customWidth="1"/>
    <col min="11016" max="11016" width="12.25" style="118" customWidth="1"/>
    <col min="11017" max="11017" width="12.0833333333333" style="118" customWidth="1"/>
    <col min="11018" max="11018" width="10.3333333333333" style="118" customWidth="1"/>
    <col min="11019" max="11264" width="9" style="118"/>
    <col min="11265" max="11265" width="37.0833333333333" style="118" customWidth="1"/>
    <col min="11266" max="11266" width="11" style="118" customWidth="1"/>
    <col min="11267" max="11267" width="12.8333333333333" style="118" customWidth="1"/>
    <col min="11268" max="11268" width="11.25" style="118" customWidth="1"/>
    <col min="11269" max="11269" width="12.3333333333333" style="118" customWidth="1"/>
    <col min="11270" max="11270" width="12.25" style="118" customWidth="1"/>
    <col min="11271" max="11271" width="10.0833333333333" style="118" customWidth="1"/>
    <col min="11272" max="11272" width="12.25" style="118" customWidth="1"/>
    <col min="11273" max="11273" width="12.0833333333333" style="118" customWidth="1"/>
    <col min="11274" max="11274" width="10.3333333333333" style="118" customWidth="1"/>
    <col min="11275" max="11520" width="9" style="118"/>
    <col min="11521" max="11521" width="37.0833333333333" style="118" customWidth="1"/>
    <col min="11522" max="11522" width="11" style="118" customWidth="1"/>
    <col min="11523" max="11523" width="12.8333333333333" style="118" customWidth="1"/>
    <col min="11524" max="11524" width="11.25" style="118" customWidth="1"/>
    <col min="11525" max="11525" width="12.3333333333333" style="118" customWidth="1"/>
    <col min="11526" max="11526" width="12.25" style="118" customWidth="1"/>
    <col min="11527" max="11527" width="10.0833333333333" style="118" customWidth="1"/>
    <col min="11528" max="11528" width="12.25" style="118" customWidth="1"/>
    <col min="11529" max="11529" width="12.0833333333333" style="118" customWidth="1"/>
    <col min="11530" max="11530" width="10.3333333333333" style="118" customWidth="1"/>
    <col min="11531" max="11776" width="9" style="118"/>
    <col min="11777" max="11777" width="37.0833333333333" style="118" customWidth="1"/>
    <col min="11778" max="11778" width="11" style="118" customWidth="1"/>
    <col min="11779" max="11779" width="12.8333333333333" style="118" customWidth="1"/>
    <col min="11780" max="11780" width="11.25" style="118" customWidth="1"/>
    <col min="11781" max="11781" width="12.3333333333333" style="118" customWidth="1"/>
    <col min="11782" max="11782" width="12.25" style="118" customWidth="1"/>
    <col min="11783" max="11783" width="10.0833333333333" style="118" customWidth="1"/>
    <col min="11784" max="11784" width="12.25" style="118" customWidth="1"/>
    <col min="11785" max="11785" width="12.0833333333333" style="118" customWidth="1"/>
    <col min="11786" max="11786" width="10.3333333333333" style="118" customWidth="1"/>
    <col min="11787" max="12032" width="9" style="118"/>
    <col min="12033" max="12033" width="37.0833333333333" style="118" customWidth="1"/>
    <col min="12034" max="12034" width="11" style="118" customWidth="1"/>
    <col min="12035" max="12035" width="12.8333333333333" style="118" customWidth="1"/>
    <col min="12036" max="12036" width="11.25" style="118" customWidth="1"/>
    <col min="12037" max="12037" width="12.3333333333333" style="118" customWidth="1"/>
    <col min="12038" max="12038" width="12.25" style="118" customWidth="1"/>
    <col min="12039" max="12039" width="10.0833333333333" style="118" customWidth="1"/>
    <col min="12040" max="12040" width="12.25" style="118" customWidth="1"/>
    <col min="12041" max="12041" width="12.0833333333333" style="118" customWidth="1"/>
    <col min="12042" max="12042" width="10.3333333333333" style="118" customWidth="1"/>
    <col min="12043" max="12288" width="9" style="118"/>
    <col min="12289" max="12289" width="37.0833333333333" style="118" customWidth="1"/>
    <col min="12290" max="12290" width="11" style="118" customWidth="1"/>
    <col min="12291" max="12291" width="12.8333333333333" style="118" customWidth="1"/>
    <col min="12292" max="12292" width="11.25" style="118" customWidth="1"/>
    <col min="12293" max="12293" width="12.3333333333333" style="118" customWidth="1"/>
    <col min="12294" max="12294" width="12.25" style="118" customWidth="1"/>
    <col min="12295" max="12295" width="10.0833333333333" style="118" customWidth="1"/>
    <col min="12296" max="12296" width="12.25" style="118" customWidth="1"/>
    <col min="12297" max="12297" width="12.0833333333333" style="118" customWidth="1"/>
    <col min="12298" max="12298" width="10.3333333333333" style="118" customWidth="1"/>
    <col min="12299" max="12544" width="9" style="118"/>
    <col min="12545" max="12545" width="37.0833333333333" style="118" customWidth="1"/>
    <col min="12546" max="12546" width="11" style="118" customWidth="1"/>
    <col min="12547" max="12547" width="12.8333333333333" style="118" customWidth="1"/>
    <col min="12548" max="12548" width="11.25" style="118" customWidth="1"/>
    <col min="12549" max="12549" width="12.3333333333333" style="118" customWidth="1"/>
    <col min="12550" max="12550" width="12.25" style="118" customWidth="1"/>
    <col min="12551" max="12551" width="10.0833333333333" style="118" customWidth="1"/>
    <col min="12552" max="12552" width="12.25" style="118" customWidth="1"/>
    <col min="12553" max="12553" width="12.0833333333333" style="118" customWidth="1"/>
    <col min="12554" max="12554" width="10.3333333333333" style="118" customWidth="1"/>
    <col min="12555" max="12800" width="9" style="118"/>
    <col min="12801" max="12801" width="37.0833333333333" style="118" customWidth="1"/>
    <col min="12802" max="12802" width="11" style="118" customWidth="1"/>
    <col min="12803" max="12803" width="12.8333333333333" style="118" customWidth="1"/>
    <col min="12804" max="12804" width="11.25" style="118" customWidth="1"/>
    <col min="12805" max="12805" width="12.3333333333333" style="118" customWidth="1"/>
    <col min="12806" max="12806" width="12.25" style="118" customWidth="1"/>
    <col min="12807" max="12807" width="10.0833333333333" style="118" customWidth="1"/>
    <col min="12808" max="12808" width="12.25" style="118" customWidth="1"/>
    <col min="12809" max="12809" width="12.0833333333333" style="118" customWidth="1"/>
    <col min="12810" max="12810" width="10.3333333333333" style="118" customWidth="1"/>
    <col min="12811" max="13056" width="9" style="118"/>
    <col min="13057" max="13057" width="37.0833333333333" style="118" customWidth="1"/>
    <col min="13058" max="13058" width="11" style="118" customWidth="1"/>
    <col min="13059" max="13059" width="12.8333333333333" style="118" customWidth="1"/>
    <col min="13060" max="13060" width="11.25" style="118" customWidth="1"/>
    <col min="13061" max="13061" width="12.3333333333333" style="118" customWidth="1"/>
    <col min="13062" max="13062" width="12.25" style="118" customWidth="1"/>
    <col min="13063" max="13063" width="10.0833333333333" style="118" customWidth="1"/>
    <col min="13064" max="13064" width="12.25" style="118" customWidth="1"/>
    <col min="13065" max="13065" width="12.0833333333333" style="118" customWidth="1"/>
    <col min="13066" max="13066" width="10.3333333333333" style="118" customWidth="1"/>
    <col min="13067" max="13312" width="9" style="118"/>
    <col min="13313" max="13313" width="37.0833333333333" style="118" customWidth="1"/>
    <col min="13314" max="13314" width="11" style="118" customWidth="1"/>
    <col min="13315" max="13315" width="12.8333333333333" style="118" customWidth="1"/>
    <col min="13316" max="13316" width="11.25" style="118" customWidth="1"/>
    <col min="13317" max="13317" width="12.3333333333333" style="118" customWidth="1"/>
    <col min="13318" max="13318" width="12.25" style="118" customWidth="1"/>
    <col min="13319" max="13319" width="10.0833333333333" style="118" customWidth="1"/>
    <col min="13320" max="13320" width="12.25" style="118" customWidth="1"/>
    <col min="13321" max="13321" width="12.0833333333333" style="118" customWidth="1"/>
    <col min="13322" max="13322" width="10.3333333333333" style="118" customWidth="1"/>
    <col min="13323" max="13568" width="9" style="118"/>
    <col min="13569" max="13569" width="37.0833333333333" style="118" customWidth="1"/>
    <col min="13570" max="13570" width="11" style="118" customWidth="1"/>
    <col min="13571" max="13571" width="12.8333333333333" style="118" customWidth="1"/>
    <col min="13572" max="13572" width="11.25" style="118" customWidth="1"/>
    <col min="13573" max="13573" width="12.3333333333333" style="118" customWidth="1"/>
    <col min="13574" max="13574" width="12.25" style="118" customWidth="1"/>
    <col min="13575" max="13575" width="10.0833333333333" style="118" customWidth="1"/>
    <col min="13576" max="13576" width="12.25" style="118" customWidth="1"/>
    <col min="13577" max="13577" width="12.0833333333333" style="118" customWidth="1"/>
    <col min="13578" max="13578" width="10.3333333333333" style="118" customWidth="1"/>
    <col min="13579" max="13824" width="9" style="118"/>
    <col min="13825" max="13825" width="37.0833333333333" style="118" customWidth="1"/>
    <col min="13826" max="13826" width="11" style="118" customWidth="1"/>
    <col min="13827" max="13827" width="12.8333333333333" style="118" customWidth="1"/>
    <col min="13828" max="13828" width="11.25" style="118" customWidth="1"/>
    <col min="13829" max="13829" width="12.3333333333333" style="118" customWidth="1"/>
    <col min="13830" max="13830" width="12.25" style="118" customWidth="1"/>
    <col min="13831" max="13831" width="10.0833333333333" style="118" customWidth="1"/>
    <col min="13832" max="13832" width="12.25" style="118" customWidth="1"/>
    <col min="13833" max="13833" width="12.0833333333333" style="118" customWidth="1"/>
    <col min="13834" max="13834" width="10.3333333333333" style="118" customWidth="1"/>
    <col min="13835" max="14080" width="9" style="118"/>
    <col min="14081" max="14081" width="37.0833333333333" style="118" customWidth="1"/>
    <col min="14082" max="14082" width="11" style="118" customWidth="1"/>
    <col min="14083" max="14083" width="12.8333333333333" style="118" customWidth="1"/>
    <col min="14084" max="14084" width="11.25" style="118" customWidth="1"/>
    <col min="14085" max="14085" width="12.3333333333333" style="118" customWidth="1"/>
    <col min="14086" max="14086" width="12.25" style="118" customWidth="1"/>
    <col min="14087" max="14087" width="10.0833333333333" style="118" customWidth="1"/>
    <col min="14088" max="14088" width="12.25" style="118" customWidth="1"/>
    <col min="14089" max="14089" width="12.0833333333333" style="118" customWidth="1"/>
    <col min="14090" max="14090" width="10.3333333333333" style="118" customWidth="1"/>
    <col min="14091" max="14336" width="9" style="118"/>
    <col min="14337" max="14337" width="37.0833333333333" style="118" customWidth="1"/>
    <col min="14338" max="14338" width="11" style="118" customWidth="1"/>
    <col min="14339" max="14339" width="12.8333333333333" style="118" customWidth="1"/>
    <col min="14340" max="14340" width="11.25" style="118" customWidth="1"/>
    <col min="14341" max="14341" width="12.3333333333333" style="118" customWidth="1"/>
    <col min="14342" max="14342" width="12.25" style="118" customWidth="1"/>
    <col min="14343" max="14343" width="10.0833333333333" style="118" customWidth="1"/>
    <col min="14344" max="14344" width="12.25" style="118" customWidth="1"/>
    <col min="14345" max="14345" width="12.0833333333333" style="118" customWidth="1"/>
    <col min="14346" max="14346" width="10.3333333333333" style="118" customWidth="1"/>
    <col min="14347" max="14592" width="9" style="118"/>
    <col min="14593" max="14593" width="37.0833333333333" style="118" customWidth="1"/>
    <col min="14594" max="14594" width="11" style="118" customWidth="1"/>
    <col min="14595" max="14595" width="12.8333333333333" style="118" customWidth="1"/>
    <col min="14596" max="14596" width="11.25" style="118" customWidth="1"/>
    <col min="14597" max="14597" width="12.3333333333333" style="118" customWidth="1"/>
    <col min="14598" max="14598" width="12.25" style="118" customWidth="1"/>
    <col min="14599" max="14599" width="10.0833333333333" style="118" customWidth="1"/>
    <col min="14600" max="14600" width="12.25" style="118" customWidth="1"/>
    <col min="14601" max="14601" width="12.0833333333333" style="118" customWidth="1"/>
    <col min="14602" max="14602" width="10.3333333333333" style="118" customWidth="1"/>
    <col min="14603" max="14848" width="9" style="118"/>
    <col min="14849" max="14849" width="37.0833333333333" style="118" customWidth="1"/>
    <col min="14850" max="14850" width="11" style="118" customWidth="1"/>
    <col min="14851" max="14851" width="12.8333333333333" style="118" customWidth="1"/>
    <col min="14852" max="14852" width="11.25" style="118" customWidth="1"/>
    <col min="14853" max="14853" width="12.3333333333333" style="118" customWidth="1"/>
    <col min="14854" max="14854" width="12.25" style="118" customWidth="1"/>
    <col min="14855" max="14855" width="10.0833333333333" style="118" customWidth="1"/>
    <col min="14856" max="14856" width="12.25" style="118" customWidth="1"/>
    <col min="14857" max="14857" width="12.0833333333333" style="118" customWidth="1"/>
    <col min="14858" max="14858" width="10.3333333333333" style="118" customWidth="1"/>
    <col min="14859" max="15104" width="9" style="118"/>
    <col min="15105" max="15105" width="37.0833333333333" style="118" customWidth="1"/>
    <col min="15106" max="15106" width="11" style="118" customWidth="1"/>
    <col min="15107" max="15107" width="12.8333333333333" style="118" customWidth="1"/>
    <col min="15108" max="15108" width="11.25" style="118" customWidth="1"/>
    <col min="15109" max="15109" width="12.3333333333333" style="118" customWidth="1"/>
    <col min="15110" max="15110" width="12.25" style="118" customWidth="1"/>
    <col min="15111" max="15111" width="10.0833333333333" style="118" customWidth="1"/>
    <col min="15112" max="15112" width="12.25" style="118" customWidth="1"/>
    <col min="15113" max="15113" width="12.0833333333333" style="118" customWidth="1"/>
    <col min="15114" max="15114" width="10.3333333333333" style="118" customWidth="1"/>
    <col min="15115" max="15360" width="9" style="118"/>
    <col min="15361" max="15361" width="37.0833333333333" style="118" customWidth="1"/>
    <col min="15362" max="15362" width="11" style="118" customWidth="1"/>
    <col min="15363" max="15363" width="12.8333333333333" style="118" customWidth="1"/>
    <col min="15364" max="15364" width="11.25" style="118" customWidth="1"/>
    <col min="15365" max="15365" width="12.3333333333333" style="118" customWidth="1"/>
    <col min="15366" max="15366" width="12.25" style="118" customWidth="1"/>
    <col min="15367" max="15367" width="10.0833333333333" style="118" customWidth="1"/>
    <col min="15368" max="15368" width="12.25" style="118" customWidth="1"/>
    <col min="15369" max="15369" width="12.0833333333333" style="118" customWidth="1"/>
    <col min="15370" max="15370" width="10.3333333333333" style="118" customWidth="1"/>
    <col min="15371" max="15616" width="9" style="118"/>
    <col min="15617" max="15617" width="37.0833333333333" style="118" customWidth="1"/>
    <col min="15618" max="15618" width="11" style="118" customWidth="1"/>
    <col min="15619" max="15619" width="12.8333333333333" style="118" customWidth="1"/>
    <col min="15620" max="15620" width="11.25" style="118" customWidth="1"/>
    <col min="15621" max="15621" width="12.3333333333333" style="118" customWidth="1"/>
    <col min="15622" max="15622" width="12.25" style="118" customWidth="1"/>
    <col min="15623" max="15623" width="10.0833333333333" style="118" customWidth="1"/>
    <col min="15624" max="15624" width="12.25" style="118" customWidth="1"/>
    <col min="15625" max="15625" width="12.0833333333333" style="118" customWidth="1"/>
    <col min="15626" max="15626" width="10.3333333333333" style="118" customWidth="1"/>
    <col min="15627" max="15872" width="9" style="118"/>
    <col min="15873" max="15873" width="37.0833333333333" style="118" customWidth="1"/>
    <col min="15874" max="15874" width="11" style="118" customWidth="1"/>
    <col min="15875" max="15875" width="12.8333333333333" style="118" customWidth="1"/>
    <col min="15876" max="15876" width="11.25" style="118" customWidth="1"/>
    <col min="15877" max="15877" width="12.3333333333333" style="118" customWidth="1"/>
    <col min="15878" max="15878" width="12.25" style="118" customWidth="1"/>
    <col min="15879" max="15879" width="10.0833333333333" style="118" customWidth="1"/>
    <col min="15880" max="15880" width="12.25" style="118" customWidth="1"/>
    <col min="15881" max="15881" width="12.0833333333333" style="118" customWidth="1"/>
    <col min="15882" max="15882" width="10.3333333333333" style="118" customWidth="1"/>
    <col min="15883" max="16128" width="9" style="118"/>
    <col min="16129" max="16129" width="37.0833333333333" style="118" customWidth="1"/>
    <col min="16130" max="16130" width="11" style="118" customWidth="1"/>
    <col min="16131" max="16131" width="12.8333333333333" style="118" customWidth="1"/>
    <col min="16132" max="16132" width="11.25" style="118" customWidth="1"/>
    <col min="16133" max="16133" width="12.3333333333333" style="118" customWidth="1"/>
    <col min="16134" max="16134" width="12.25" style="118" customWidth="1"/>
    <col min="16135" max="16135" width="10.0833333333333" style="118" customWidth="1"/>
    <col min="16136" max="16136" width="12.25" style="118" customWidth="1"/>
    <col min="16137" max="16137" width="12.0833333333333" style="118" customWidth="1"/>
    <col min="16138" max="16138" width="10.3333333333333" style="118" customWidth="1"/>
    <col min="16139" max="16384" width="9" style="118"/>
  </cols>
  <sheetData>
    <row r="1" ht="20.25" spans="1:1">
      <c r="A1" s="122" t="s">
        <v>1591</v>
      </c>
    </row>
    <row r="2" ht="21" customHeight="1" spans="1:12">
      <c r="A2" s="123" t="s">
        <v>1592</v>
      </c>
      <c r="B2" s="123"/>
      <c r="C2" s="123"/>
      <c r="D2" s="123"/>
      <c r="E2" s="123"/>
      <c r="F2" s="123"/>
      <c r="G2" s="123"/>
      <c r="H2" s="123"/>
      <c r="I2" s="123"/>
      <c r="J2" s="123"/>
      <c r="K2" s="155"/>
      <c r="L2" s="155"/>
    </row>
    <row r="3" spans="1:12">
      <c r="A3" s="124" t="s">
        <v>1560</v>
      </c>
      <c r="B3" s="124"/>
      <c r="C3" s="124"/>
      <c r="D3" s="124"/>
      <c r="E3" s="124"/>
      <c r="F3" s="124"/>
      <c r="G3" s="124"/>
      <c r="H3" s="124"/>
      <c r="I3" s="124"/>
      <c r="J3" s="124"/>
      <c r="K3" s="155"/>
      <c r="L3" s="155"/>
    </row>
    <row r="4" spans="1:12">
      <c r="A4" s="125" t="s">
        <v>1502</v>
      </c>
      <c r="B4" s="126" t="s">
        <v>1197</v>
      </c>
      <c r="C4" s="127"/>
      <c r="D4" s="127"/>
      <c r="E4" s="127"/>
      <c r="F4" s="127"/>
      <c r="G4" s="147"/>
      <c r="H4" s="148" t="s">
        <v>36</v>
      </c>
      <c r="I4" s="148"/>
      <c r="J4" s="148"/>
      <c r="K4" s="156"/>
      <c r="L4" s="156"/>
    </row>
    <row r="5" spans="1:12">
      <c r="A5" s="125"/>
      <c r="B5" s="128" t="s">
        <v>1503</v>
      </c>
      <c r="C5" s="129" t="s">
        <v>38</v>
      </c>
      <c r="D5" s="130" t="s">
        <v>39</v>
      </c>
      <c r="E5" s="149" t="s">
        <v>1504</v>
      </c>
      <c r="F5" s="150" t="s">
        <v>1200</v>
      </c>
      <c r="G5" s="150"/>
      <c r="H5" s="151" t="s">
        <v>42</v>
      </c>
      <c r="I5" s="157" t="s">
        <v>152</v>
      </c>
      <c r="J5" s="157"/>
      <c r="K5" s="156"/>
      <c r="L5" s="156"/>
    </row>
    <row r="6" spans="1:12">
      <c r="A6" s="125"/>
      <c r="B6" s="128"/>
      <c r="C6" s="131"/>
      <c r="D6" s="132"/>
      <c r="E6" s="152"/>
      <c r="F6" s="150" t="s">
        <v>44</v>
      </c>
      <c r="G6" s="150" t="s">
        <v>45</v>
      </c>
      <c r="H6" s="151"/>
      <c r="I6" s="158" t="s">
        <v>44</v>
      </c>
      <c r="J6" s="158" t="s">
        <v>45</v>
      </c>
      <c r="K6" s="156"/>
      <c r="L6" s="159"/>
    </row>
    <row r="7" spans="1:12">
      <c r="A7" s="133" t="s">
        <v>1561</v>
      </c>
      <c r="B7" s="134"/>
      <c r="C7" s="135"/>
      <c r="D7" s="136"/>
      <c r="E7" s="140"/>
      <c r="F7" s="140"/>
      <c r="G7" s="136"/>
      <c r="H7" s="134">
        <v>0</v>
      </c>
      <c r="I7" s="138"/>
      <c r="J7" s="136"/>
      <c r="K7" s="155"/>
      <c r="L7" s="159"/>
    </row>
    <row r="8" s="117" customFormat="1" spans="1:12">
      <c r="A8" s="137" t="s">
        <v>1562</v>
      </c>
      <c r="B8" s="138">
        <f>B9+B19+B28+B29+B33</f>
        <v>1400</v>
      </c>
      <c r="C8" s="138">
        <f t="shared" ref="C8:H8" si="0">C9+C19+C28+C29+C33</f>
        <v>0</v>
      </c>
      <c r="D8" s="136">
        <f>C8/B8*100</f>
        <v>0</v>
      </c>
      <c r="E8" s="138">
        <f t="shared" si="0"/>
        <v>0</v>
      </c>
      <c r="F8" s="140">
        <f>C8-E8</f>
        <v>0</v>
      </c>
      <c r="G8" s="136"/>
      <c r="H8" s="138">
        <f t="shared" si="0"/>
        <v>164</v>
      </c>
      <c r="I8" s="138">
        <f t="shared" ref="I8:I34" si="1">H8-B8</f>
        <v>-1236</v>
      </c>
      <c r="J8" s="136">
        <f>I8/B8*100</f>
        <v>-88.2857142857143</v>
      </c>
      <c r="K8" s="156"/>
      <c r="L8" s="159"/>
    </row>
    <row r="9" s="118" customFormat="1" spans="1:12">
      <c r="A9" s="139" t="s">
        <v>1563</v>
      </c>
      <c r="B9" s="140">
        <f>SUM(B10:B18)</f>
        <v>400</v>
      </c>
      <c r="C9" s="140">
        <f t="shared" ref="C9:H9" si="2">SUM(C10:C18)</f>
        <v>0</v>
      </c>
      <c r="D9" s="136">
        <f>C9/B9*100</f>
        <v>0</v>
      </c>
      <c r="E9" s="140">
        <f t="shared" si="2"/>
        <v>0</v>
      </c>
      <c r="F9" s="140">
        <f>C9-E9</f>
        <v>0</v>
      </c>
      <c r="G9" s="136"/>
      <c r="H9" s="140">
        <f t="shared" si="2"/>
        <v>164</v>
      </c>
      <c r="I9" s="138">
        <f t="shared" si="1"/>
        <v>-236</v>
      </c>
      <c r="J9" s="136">
        <f>I9/B9*100</f>
        <v>-59</v>
      </c>
      <c r="K9" s="155"/>
      <c r="L9" s="159"/>
    </row>
    <row r="10" spans="1:12">
      <c r="A10" s="139" t="s">
        <v>1564</v>
      </c>
      <c r="B10" s="140"/>
      <c r="C10" s="141"/>
      <c r="D10" s="136"/>
      <c r="E10" s="140"/>
      <c r="F10" s="140"/>
      <c r="G10" s="136"/>
      <c r="H10" s="140">
        <v>0</v>
      </c>
      <c r="I10" s="138">
        <f t="shared" si="1"/>
        <v>0</v>
      </c>
      <c r="J10" s="136"/>
      <c r="K10" s="155"/>
      <c r="L10" s="159"/>
    </row>
    <row r="11" spans="1:12">
      <c r="A11" s="142" t="s">
        <v>1565</v>
      </c>
      <c r="B11" s="140"/>
      <c r="C11" s="141"/>
      <c r="D11" s="136"/>
      <c r="E11" s="140"/>
      <c r="F11" s="140"/>
      <c r="G11" s="136"/>
      <c r="H11" s="140"/>
      <c r="I11" s="138">
        <f t="shared" si="1"/>
        <v>0</v>
      </c>
      <c r="J11" s="136"/>
      <c r="K11" s="155"/>
      <c r="L11" s="159"/>
    </row>
    <row r="12" spans="1:12">
      <c r="A12" s="142" t="s">
        <v>1566</v>
      </c>
      <c r="B12" s="140"/>
      <c r="C12" s="141"/>
      <c r="D12" s="136"/>
      <c r="E12" s="140"/>
      <c r="F12" s="140"/>
      <c r="G12" s="136"/>
      <c r="H12" s="140"/>
      <c r="I12" s="138">
        <f t="shared" si="1"/>
        <v>0</v>
      </c>
      <c r="J12" s="136"/>
      <c r="K12" s="155"/>
      <c r="L12" s="159"/>
    </row>
    <row r="13" spans="1:12">
      <c r="A13" s="139" t="s">
        <v>1567</v>
      </c>
      <c r="B13" s="140"/>
      <c r="C13" s="141"/>
      <c r="D13" s="136"/>
      <c r="E13" s="140"/>
      <c r="F13" s="140"/>
      <c r="G13" s="136"/>
      <c r="H13" s="140"/>
      <c r="I13" s="138">
        <f t="shared" si="1"/>
        <v>0</v>
      </c>
      <c r="J13" s="136"/>
      <c r="K13" s="155"/>
      <c r="L13" s="159"/>
    </row>
    <row r="14" spans="1:12">
      <c r="A14" s="139" t="s">
        <v>1568</v>
      </c>
      <c r="B14" s="140"/>
      <c r="C14" s="141"/>
      <c r="D14" s="136"/>
      <c r="E14" s="140"/>
      <c r="F14" s="140">
        <f t="shared" ref="F14:F19" si="3">C14-E14</f>
        <v>0</v>
      </c>
      <c r="G14" s="136"/>
      <c r="H14" s="140"/>
      <c r="I14" s="138">
        <f t="shared" si="1"/>
        <v>0</v>
      </c>
      <c r="J14" s="136"/>
      <c r="K14" s="155"/>
      <c r="L14" s="159"/>
    </row>
    <row r="15" spans="1:12">
      <c r="A15" s="139" t="s">
        <v>1569</v>
      </c>
      <c r="B15" s="140"/>
      <c r="C15" s="141"/>
      <c r="D15" s="136"/>
      <c r="E15" s="140"/>
      <c r="F15" s="140"/>
      <c r="G15" s="136"/>
      <c r="H15" s="140"/>
      <c r="I15" s="138">
        <f t="shared" si="1"/>
        <v>0</v>
      </c>
      <c r="J15" s="136"/>
      <c r="K15" s="155"/>
      <c r="L15" s="159"/>
    </row>
    <row r="16" spans="1:12">
      <c r="A16" s="142" t="s">
        <v>1570</v>
      </c>
      <c r="B16" s="140"/>
      <c r="C16" s="141"/>
      <c r="D16" s="136"/>
      <c r="E16" s="140"/>
      <c r="F16" s="140"/>
      <c r="G16" s="136"/>
      <c r="H16" s="140"/>
      <c r="I16" s="138">
        <f t="shared" si="1"/>
        <v>0</v>
      </c>
      <c r="J16" s="136"/>
      <c r="K16" s="155"/>
      <c r="L16" s="159"/>
    </row>
    <row r="17" spans="1:12">
      <c r="A17" s="139" t="s">
        <v>1571</v>
      </c>
      <c r="B17" s="140"/>
      <c r="C17" s="141"/>
      <c r="D17" s="136"/>
      <c r="E17" s="140"/>
      <c r="F17" s="140"/>
      <c r="G17" s="136"/>
      <c r="H17" s="140"/>
      <c r="I17" s="138">
        <f t="shared" si="1"/>
        <v>0</v>
      </c>
      <c r="J17" s="136"/>
      <c r="K17" s="155"/>
      <c r="L17" s="159"/>
    </row>
    <row r="18" spans="1:12">
      <c r="A18" s="139" t="s">
        <v>1572</v>
      </c>
      <c r="B18" s="140">
        <v>400</v>
      </c>
      <c r="C18" s="141"/>
      <c r="D18" s="136">
        <f>C18/B18*100</f>
        <v>0</v>
      </c>
      <c r="E18" s="140"/>
      <c r="F18" s="140">
        <f t="shared" si="3"/>
        <v>0</v>
      </c>
      <c r="G18" s="136"/>
      <c r="H18" s="140">
        <v>164</v>
      </c>
      <c r="I18" s="138">
        <f t="shared" si="1"/>
        <v>-236</v>
      </c>
      <c r="J18" s="136">
        <f>I18/B18*100</f>
        <v>-59</v>
      </c>
      <c r="K18" s="155"/>
      <c r="L18" s="159"/>
    </row>
    <row r="19" s="118" customFormat="1" spans="1:12">
      <c r="A19" s="139" t="s">
        <v>1573</v>
      </c>
      <c r="B19" s="140">
        <f>SUM(B20:B27)</f>
        <v>800</v>
      </c>
      <c r="C19" s="140"/>
      <c r="D19" s="136"/>
      <c r="E19" s="140">
        <f>SUM(E20:E27)</f>
        <v>0</v>
      </c>
      <c r="F19" s="140">
        <f t="shared" si="3"/>
        <v>0</v>
      </c>
      <c r="G19" s="136"/>
      <c r="H19" s="140">
        <f>SUM(H20:H27)</f>
        <v>0</v>
      </c>
      <c r="I19" s="138">
        <f t="shared" si="1"/>
        <v>-800</v>
      </c>
      <c r="J19" s="136">
        <f>I19/B19*100</f>
        <v>-100</v>
      </c>
      <c r="K19" s="155"/>
      <c r="L19" s="159"/>
    </row>
    <row r="20" spans="1:12">
      <c r="A20" s="139" t="s">
        <v>1574</v>
      </c>
      <c r="B20" s="140"/>
      <c r="C20" s="141"/>
      <c r="D20" s="136"/>
      <c r="E20" s="140"/>
      <c r="F20" s="140"/>
      <c r="G20" s="136"/>
      <c r="H20" s="140">
        <v>0</v>
      </c>
      <c r="I20" s="138">
        <f t="shared" si="1"/>
        <v>0</v>
      </c>
      <c r="J20" s="136"/>
      <c r="K20" s="155"/>
      <c r="L20" s="159"/>
    </row>
    <row r="21" spans="1:12">
      <c r="A21" s="142" t="s">
        <v>1575</v>
      </c>
      <c r="B21" s="140"/>
      <c r="C21" s="141"/>
      <c r="D21" s="136"/>
      <c r="E21" s="140"/>
      <c r="F21" s="140"/>
      <c r="G21" s="136"/>
      <c r="H21" s="140">
        <v>0</v>
      </c>
      <c r="I21" s="138">
        <f t="shared" si="1"/>
        <v>0</v>
      </c>
      <c r="J21" s="136"/>
      <c r="K21" s="155"/>
      <c r="L21" s="159"/>
    </row>
    <row r="22" spans="1:12">
      <c r="A22" s="142" t="s">
        <v>1576</v>
      </c>
      <c r="B22" s="140"/>
      <c r="C22" s="141"/>
      <c r="D22" s="136"/>
      <c r="E22" s="140"/>
      <c r="F22" s="140"/>
      <c r="G22" s="136"/>
      <c r="H22" s="140">
        <v>0</v>
      </c>
      <c r="I22" s="138">
        <f t="shared" si="1"/>
        <v>0</v>
      </c>
      <c r="J22" s="136"/>
      <c r="K22" s="155"/>
      <c r="L22" s="159"/>
    </row>
    <row r="23" spans="1:12">
      <c r="A23" s="139" t="s">
        <v>1577</v>
      </c>
      <c r="B23" s="140"/>
      <c r="C23" s="141"/>
      <c r="D23" s="136"/>
      <c r="E23" s="140"/>
      <c r="F23" s="140"/>
      <c r="G23" s="136"/>
      <c r="H23" s="140">
        <v>0</v>
      </c>
      <c r="I23" s="138">
        <f t="shared" si="1"/>
        <v>0</v>
      </c>
      <c r="J23" s="136"/>
      <c r="K23" s="155"/>
      <c r="L23" s="159"/>
    </row>
    <row r="24" spans="1:12">
      <c r="A24" s="139" t="s">
        <v>1578</v>
      </c>
      <c r="B24" s="140"/>
      <c r="C24" s="141"/>
      <c r="D24" s="136"/>
      <c r="E24" s="140"/>
      <c r="F24" s="140"/>
      <c r="G24" s="136"/>
      <c r="H24" s="140">
        <v>0</v>
      </c>
      <c r="I24" s="138">
        <f t="shared" si="1"/>
        <v>0</v>
      </c>
      <c r="J24" s="136"/>
      <c r="K24" s="155"/>
      <c r="L24" s="159"/>
    </row>
    <row r="25" spans="1:12">
      <c r="A25" s="143" t="s">
        <v>1579</v>
      </c>
      <c r="B25" s="140"/>
      <c r="C25" s="141"/>
      <c r="D25" s="136"/>
      <c r="E25" s="140"/>
      <c r="F25" s="140"/>
      <c r="G25" s="136"/>
      <c r="H25" s="140">
        <v>0</v>
      </c>
      <c r="I25" s="138">
        <f t="shared" si="1"/>
        <v>0</v>
      </c>
      <c r="J25" s="136"/>
      <c r="K25" s="155"/>
      <c r="L25" s="159"/>
    </row>
    <row r="26" spans="1:12">
      <c r="A26" s="142" t="s">
        <v>1580</v>
      </c>
      <c r="B26" s="140"/>
      <c r="C26" s="141"/>
      <c r="D26" s="136"/>
      <c r="E26" s="140"/>
      <c r="F26" s="140"/>
      <c r="G26" s="136"/>
      <c r="H26" s="140">
        <v>0</v>
      </c>
      <c r="I26" s="138">
        <f t="shared" si="1"/>
        <v>0</v>
      </c>
      <c r="J26" s="136"/>
      <c r="K26" s="155"/>
      <c r="L26" s="159"/>
    </row>
    <row r="27" spans="1:12">
      <c r="A27" s="139" t="s">
        <v>1581</v>
      </c>
      <c r="B27" s="140">
        <v>800</v>
      </c>
      <c r="C27" s="141"/>
      <c r="D27" s="136"/>
      <c r="E27" s="140"/>
      <c r="F27" s="140">
        <f>C27-E27</f>
        <v>0</v>
      </c>
      <c r="G27" s="136"/>
      <c r="H27" s="140"/>
      <c r="I27" s="138">
        <f t="shared" si="1"/>
        <v>-800</v>
      </c>
      <c r="J27" s="136">
        <f>I27/B27*100</f>
        <v>-100</v>
      </c>
      <c r="K27" s="155"/>
      <c r="L27" s="159"/>
    </row>
    <row r="28" s="118" customFormat="1" spans="1:12">
      <c r="A28" s="139" t="s">
        <v>1582</v>
      </c>
      <c r="B28" s="140"/>
      <c r="C28" s="141"/>
      <c r="D28" s="136"/>
      <c r="E28" s="140"/>
      <c r="F28" s="140"/>
      <c r="G28" s="136"/>
      <c r="H28" s="140">
        <v>0</v>
      </c>
      <c r="I28" s="138">
        <f t="shared" si="1"/>
        <v>0</v>
      </c>
      <c r="J28" s="136"/>
      <c r="K28" s="155"/>
      <c r="L28" s="159"/>
    </row>
    <row r="29" s="118" customFormat="1" spans="1:12">
      <c r="A29" s="139" t="s">
        <v>1583</v>
      </c>
      <c r="B29" s="140"/>
      <c r="C29" s="141"/>
      <c r="D29" s="136"/>
      <c r="E29" s="140"/>
      <c r="F29" s="140"/>
      <c r="G29" s="136"/>
      <c r="H29" s="140">
        <v>0</v>
      </c>
      <c r="I29" s="138">
        <f t="shared" si="1"/>
        <v>0</v>
      </c>
      <c r="J29" s="136"/>
      <c r="K29" s="155"/>
      <c r="L29" s="159"/>
    </row>
    <row r="30" spans="1:12">
      <c r="A30" s="139" t="s">
        <v>1584</v>
      </c>
      <c r="B30" s="140"/>
      <c r="C30" s="141"/>
      <c r="D30" s="136"/>
      <c r="E30" s="140"/>
      <c r="F30" s="140"/>
      <c r="G30" s="136"/>
      <c r="H30" s="140">
        <v>0</v>
      </c>
      <c r="I30" s="138">
        <f t="shared" si="1"/>
        <v>0</v>
      </c>
      <c r="J30" s="136"/>
      <c r="K30" s="155"/>
      <c r="L30" s="159"/>
    </row>
    <row r="31" spans="1:12">
      <c r="A31" s="142" t="s">
        <v>1585</v>
      </c>
      <c r="B31" s="140"/>
      <c r="C31" s="141"/>
      <c r="D31" s="136"/>
      <c r="E31" s="140"/>
      <c r="F31" s="140"/>
      <c r="G31" s="136"/>
      <c r="H31" s="140">
        <v>0</v>
      </c>
      <c r="I31" s="138">
        <f t="shared" si="1"/>
        <v>0</v>
      </c>
      <c r="J31" s="136"/>
      <c r="K31" s="155"/>
      <c r="L31" s="159"/>
    </row>
    <row r="32" spans="1:12">
      <c r="A32" s="139" t="s">
        <v>1586</v>
      </c>
      <c r="B32" s="144"/>
      <c r="C32" s="141"/>
      <c r="D32" s="136"/>
      <c r="E32" s="140"/>
      <c r="F32" s="140"/>
      <c r="G32" s="136"/>
      <c r="H32" s="140">
        <v>0</v>
      </c>
      <c r="I32" s="138">
        <f t="shared" si="1"/>
        <v>0</v>
      </c>
      <c r="J32" s="136"/>
      <c r="K32" s="155"/>
      <c r="L32" s="159"/>
    </row>
    <row r="33" s="118" customFormat="1" spans="1:12">
      <c r="A33" s="139" t="s">
        <v>1587</v>
      </c>
      <c r="B33" s="140">
        <v>200</v>
      </c>
      <c r="C33" s="141"/>
      <c r="D33" s="136">
        <f>C33/B33*100</f>
        <v>0</v>
      </c>
      <c r="E33" s="140"/>
      <c r="F33" s="140">
        <f>C33-E33</f>
        <v>0</v>
      </c>
      <c r="G33" s="136"/>
      <c r="H33" s="140"/>
      <c r="I33" s="138">
        <f t="shared" si="1"/>
        <v>-200</v>
      </c>
      <c r="J33" s="136">
        <f>I33/B33*100</f>
        <v>-100</v>
      </c>
      <c r="K33" s="155"/>
      <c r="L33" s="159"/>
    </row>
    <row r="34" s="117" customFormat="1" spans="1:12">
      <c r="A34" s="145" t="s">
        <v>1588</v>
      </c>
      <c r="B34" s="138">
        <f>B7+B8</f>
        <v>1400</v>
      </c>
      <c r="C34" s="138">
        <f t="shared" ref="C34:H34" si="4">C7+C8</f>
        <v>0</v>
      </c>
      <c r="D34" s="136">
        <f>C34/B34*100</f>
        <v>0</v>
      </c>
      <c r="E34" s="138">
        <f t="shared" si="4"/>
        <v>0</v>
      </c>
      <c r="F34" s="140"/>
      <c r="G34" s="136"/>
      <c r="H34" s="138">
        <f t="shared" si="4"/>
        <v>164</v>
      </c>
      <c r="I34" s="138">
        <f t="shared" si="1"/>
        <v>-1236</v>
      </c>
      <c r="J34" s="136">
        <f>I34/B34*100</f>
        <v>-88.2857142857143</v>
      </c>
      <c r="K34" s="156"/>
      <c r="L34" s="156"/>
    </row>
    <row r="35" s="117" customFormat="1" spans="1:12">
      <c r="A35" s="137" t="s">
        <v>1589</v>
      </c>
      <c r="B35" s="138">
        <f>SUM(B36:B38)</f>
        <v>3578</v>
      </c>
      <c r="C35" s="138">
        <f>SUM(C36:C38)</f>
        <v>4775</v>
      </c>
      <c r="D35" s="136"/>
      <c r="E35" s="138"/>
      <c r="F35" s="138"/>
      <c r="G35" s="138"/>
      <c r="H35" s="138">
        <f>SUM(H36:H38)</f>
        <v>4755</v>
      </c>
      <c r="I35" s="138"/>
      <c r="J35" s="160"/>
      <c r="K35" s="156"/>
      <c r="L35" s="156"/>
    </row>
    <row r="36" s="117" customFormat="1" spans="1:12">
      <c r="A36" s="146" t="s">
        <v>1590</v>
      </c>
      <c r="B36" s="138"/>
      <c r="C36" s="138"/>
      <c r="D36" s="136"/>
      <c r="E36" s="153"/>
      <c r="F36" s="138"/>
      <c r="G36" s="136"/>
      <c r="H36" s="138">
        <v>0</v>
      </c>
      <c r="I36" s="138"/>
      <c r="J36" s="160"/>
      <c r="K36" s="156"/>
      <c r="L36" s="156"/>
    </row>
    <row r="37" spans="1:12">
      <c r="A37" s="139" t="s">
        <v>1046</v>
      </c>
      <c r="B37" s="140">
        <v>3578</v>
      </c>
      <c r="C37" s="141">
        <v>4775</v>
      </c>
      <c r="D37" s="136"/>
      <c r="E37" s="135"/>
      <c r="F37" s="140"/>
      <c r="G37" s="154"/>
      <c r="H37" s="140">
        <v>4755</v>
      </c>
      <c r="I37" s="140"/>
      <c r="J37" s="161"/>
      <c r="K37" s="155"/>
      <c r="L37" s="155"/>
    </row>
    <row r="38" spans="1:12">
      <c r="A38" s="139" t="s">
        <v>1048</v>
      </c>
      <c r="B38" s="140"/>
      <c r="C38" s="141"/>
      <c r="D38" s="136"/>
      <c r="E38" s="135"/>
      <c r="F38" s="140"/>
      <c r="G38" s="154"/>
      <c r="H38" s="140"/>
      <c r="I38" s="140"/>
      <c r="J38" s="161"/>
      <c r="K38" s="162"/>
      <c r="L38" s="162"/>
    </row>
    <row r="39" s="117" customFormat="1" spans="1:12">
      <c r="A39" s="145" t="s">
        <v>1050</v>
      </c>
      <c r="B39" s="138">
        <f>B35+B34</f>
        <v>4978</v>
      </c>
      <c r="C39" s="138">
        <f>C35+C34</f>
        <v>4775</v>
      </c>
      <c r="D39" s="136"/>
      <c r="E39" s="138"/>
      <c r="F39" s="138"/>
      <c r="G39" s="138"/>
      <c r="H39" s="138">
        <f>H35+H34</f>
        <v>4919</v>
      </c>
      <c r="I39" s="138"/>
      <c r="J39" s="160"/>
      <c r="K39" s="163"/>
      <c r="L39" s="163"/>
    </row>
    <row r="45" hidden="1"/>
    <row r="47" hidden="1"/>
    <row r="48" hidden="1"/>
    <row r="51" hidden="1"/>
    <row r="52" hidden="1"/>
    <row r="53" hidden="1"/>
  </sheetData>
  <mergeCells count="12">
    <mergeCell ref="A2:J2"/>
    <mergeCell ref="A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511805555555556" right="0.55" top="0.786805555555556" bottom="0.511805555555556" header="0.313888888888889" footer="0.432638888888889"/>
  <pageSetup paperSize="9" scale="83" orientation="landscape"/>
  <headerFooter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8" sqref="L18"/>
    </sheetView>
  </sheetViews>
  <sheetFormatPr defaultColWidth="8" defaultRowHeight="14.25"/>
  <cols>
    <col min="1" max="1" width="21.125" style="90" customWidth="1"/>
    <col min="2" max="2" width="7.875" style="90" customWidth="1"/>
    <col min="3" max="4" width="8.125" style="90" customWidth="1"/>
    <col min="5" max="5" width="12" style="90" customWidth="1"/>
    <col min="6" max="6" width="8.125" style="90" customWidth="1"/>
    <col min="7" max="7" width="10.5" style="90" customWidth="1"/>
    <col min="8" max="8" width="11" style="90" customWidth="1"/>
    <col min="9" max="9" width="9.875" style="90" customWidth="1"/>
    <col min="10" max="10" width="12.625" style="90"/>
    <col min="11" max="16341" width="8" style="90"/>
    <col min="16342" max="16384" width="8" style="91"/>
  </cols>
  <sheetData>
    <row r="1" ht="21" customHeight="1"/>
    <row r="2" ht="36" customHeight="1" spans="1:10">
      <c r="A2" s="92" t="s">
        <v>1593</v>
      </c>
      <c r="B2" s="92"/>
      <c r="C2" s="92"/>
      <c r="D2" s="92"/>
      <c r="E2" s="92"/>
      <c r="F2" s="92"/>
      <c r="G2" s="92"/>
      <c r="H2" s="92"/>
      <c r="I2" s="92"/>
      <c r="J2" s="92"/>
    </row>
    <row r="3" ht="20.1" customHeight="1" spans="10:10">
      <c r="J3" s="99" t="s">
        <v>1055</v>
      </c>
    </row>
    <row r="4" ht="24.95" customHeight="1" spans="1:10">
      <c r="A4" s="112" t="s">
        <v>1594</v>
      </c>
      <c r="B4" s="113" t="s">
        <v>1061</v>
      </c>
      <c r="C4" s="113" t="s">
        <v>1176</v>
      </c>
      <c r="D4" s="113" t="s">
        <v>1177</v>
      </c>
      <c r="E4" s="113" t="s">
        <v>1595</v>
      </c>
      <c r="F4" s="113" t="s">
        <v>1182</v>
      </c>
      <c r="G4" s="113" t="s">
        <v>1596</v>
      </c>
      <c r="H4" s="113" t="s">
        <v>1180</v>
      </c>
      <c r="I4" s="113" t="s">
        <v>1179</v>
      </c>
      <c r="J4" s="113" t="s">
        <v>1181</v>
      </c>
    </row>
    <row r="5" ht="40.5" spans="1:10">
      <c r="A5" s="114" t="s">
        <v>1597</v>
      </c>
      <c r="B5" s="115">
        <f>SUM(C5:J5)</f>
        <v>144</v>
      </c>
      <c r="C5" s="116">
        <v>77.329213</v>
      </c>
      <c r="D5" s="116">
        <v>0.284647</v>
      </c>
      <c r="E5" s="116">
        <v>3.921809</v>
      </c>
      <c r="F5" s="116">
        <v>9.424992</v>
      </c>
      <c r="G5" s="116">
        <v>7.274323</v>
      </c>
      <c r="H5" s="116">
        <v>23.752284</v>
      </c>
      <c r="I5" s="116">
        <v>19.988573</v>
      </c>
      <c r="J5" s="116">
        <v>2.024159</v>
      </c>
    </row>
    <row r="11" ht="15" spans="8:8">
      <c r="H11" s="98"/>
    </row>
    <row r="16" spans="13:13">
      <c r="M16" s="90" t="s">
        <v>1598</v>
      </c>
    </row>
  </sheetData>
  <mergeCells count="1">
    <mergeCell ref="A2:J2"/>
  </mergeCells>
  <pageMargins left="0.75" right="0.75" top="1" bottom="1" header="0.5" footer="0.5"/>
  <pageSetup paperSize="9" orientation="landscape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showGridLines="0" workbookViewId="0">
      <selection activeCell="C21" sqref="C21"/>
    </sheetView>
  </sheetViews>
  <sheetFormatPr defaultColWidth="8" defaultRowHeight="12.75" outlineLevelRow="7"/>
  <cols>
    <col min="1" max="1" width="23.75" style="100" customWidth="1"/>
    <col min="2" max="2" width="25.75" style="100" customWidth="1"/>
    <col min="3" max="3" width="21" style="100" customWidth="1"/>
    <col min="4" max="4" width="21.625" style="100" customWidth="1"/>
    <col min="5" max="5" width="23.875" style="100" customWidth="1"/>
    <col min="6" max="6" width="26.75" style="100" customWidth="1"/>
    <col min="7" max="7" width="7.875" style="100" customWidth="1"/>
    <col min="8" max="10" width="8" style="100" customWidth="1"/>
    <col min="11" max="16384" width="8" style="100"/>
  </cols>
  <sheetData>
    <row r="1" ht="15" customHeight="1" spans="1:6">
      <c r="A1" s="101" t="s">
        <v>1599</v>
      </c>
      <c r="B1" s="101"/>
      <c r="C1" s="101"/>
      <c r="D1" s="101"/>
      <c r="E1" s="101"/>
      <c r="F1" s="101"/>
    </row>
    <row r="2" ht="27" customHeight="1" spans="1:6">
      <c r="A2" s="102" t="s">
        <v>1600</v>
      </c>
      <c r="B2" s="102"/>
      <c r="C2" s="102"/>
      <c r="D2" s="102"/>
      <c r="E2" s="102"/>
      <c r="F2" s="102"/>
    </row>
    <row r="3" ht="15" customHeight="1" spans="1:6">
      <c r="A3" s="101"/>
      <c r="B3" s="101"/>
      <c r="C3" s="101"/>
      <c r="D3" s="101"/>
      <c r="E3" s="101"/>
      <c r="F3" s="109" t="s">
        <v>1483</v>
      </c>
    </row>
    <row r="4" ht="15" customHeight="1" spans="1:6">
      <c r="A4" s="103" t="s">
        <v>1056</v>
      </c>
      <c r="B4" s="103" t="s">
        <v>1057</v>
      </c>
      <c r="C4" s="104" t="s">
        <v>44</v>
      </c>
      <c r="D4" s="104"/>
      <c r="E4" s="104"/>
      <c r="F4" s="104" t="s">
        <v>1485</v>
      </c>
    </row>
    <row r="5" ht="22.5" customHeight="1" spans="1:6">
      <c r="A5" s="105"/>
      <c r="B5" s="105"/>
      <c r="C5" s="104" t="s">
        <v>1486</v>
      </c>
      <c r="D5" s="106" t="s">
        <v>1487</v>
      </c>
      <c r="E5" s="106" t="s">
        <v>1488</v>
      </c>
      <c r="F5" s="104"/>
    </row>
    <row r="6" ht="15" customHeight="1" spans="1:6">
      <c r="A6" s="104" t="s">
        <v>1059</v>
      </c>
      <c r="B6" s="104" t="s">
        <v>1059</v>
      </c>
      <c r="C6" s="104" t="s">
        <v>1601</v>
      </c>
      <c r="D6" s="104" t="s">
        <v>1602</v>
      </c>
      <c r="E6" s="104" t="s">
        <v>1603</v>
      </c>
      <c r="F6" s="104" t="s">
        <v>1059</v>
      </c>
    </row>
    <row r="7" ht="22.5" customHeight="1" spans="1:9">
      <c r="A7" s="107" t="s">
        <v>1060</v>
      </c>
      <c r="B7" s="107" t="s">
        <v>1061</v>
      </c>
      <c r="C7" s="108">
        <v>144</v>
      </c>
      <c r="D7" s="108" t="s">
        <v>1060</v>
      </c>
      <c r="E7" s="108">
        <v>144</v>
      </c>
      <c r="F7" s="110" t="s">
        <v>1060</v>
      </c>
      <c r="G7" s="111"/>
      <c r="H7" s="111"/>
      <c r="I7" s="111"/>
    </row>
    <row r="8" ht="22.5" customHeight="1" spans="1:6">
      <c r="A8" s="107" t="s">
        <v>1106</v>
      </c>
      <c r="B8" s="107" t="s">
        <v>1107</v>
      </c>
      <c r="C8" s="108">
        <v>144</v>
      </c>
      <c r="D8" s="108"/>
      <c r="E8" s="108">
        <v>144</v>
      </c>
      <c r="F8" s="110"/>
    </row>
  </sheetData>
  <mergeCells count="5">
    <mergeCell ref="A2:F2"/>
    <mergeCell ref="C4:E4"/>
    <mergeCell ref="A4:A5"/>
    <mergeCell ref="B4:B5"/>
    <mergeCell ref="F4:F5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C16" sqref="C16"/>
    </sheetView>
  </sheetViews>
  <sheetFormatPr defaultColWidth="8" defaultRowHeight="14.25"/>
  <cols>
    <col min="1" max="1" width="21.125" style="90" customWidth="1"/>
    <col min="2" max="2" width="7.875" style="90" customWidth="1"/>
    <col min="3" max="4" width="8.125" style="90" customWidth="1"/>
    <col min="5" max="5" width="12" style="90" customWidth="1"/>
    <col min="6" max="6" width="8.125" style="90" customWidth="1"/>
    <col min="7" max="7" width="10.5" style="90" customWidth="1"/>
    <col min="8" max="8" width="11" style="90" customWidth="1"/>
    <col min="9" max="9" width="9.875" style="90" customWidth="1"/>
    <col min="10" max="10" width="12.625" style="90"/>
    <col min="11" max="16341" width="8" style="90"/>
    <col min="16342" max="16384" width="8" style="91"/>
  </cols>
  <sheetData>
    <row r="1" ht="21" customHeight="1"/>
    <row r="2" ht="36" customHeight="1" spans="1:10">
      <c r="A2" s="92" t="s">
        <v>1593</v>
      </c>
      <c r="B2" s="92"/>
      <c r="C2" s="92"/>
      <c r="D2" s="92"/>
      <c r="E2" s="92"/>
      <c r="F2" s="92"/>
      <c r="G2" s="92"/>
      <c r="H2" s="92"/>
      <c r="I2" s="92"/>
      <c r="J2" s="92"/>
    </row>
    <row r="3" ht="20.1" customHeight="1" spans="10:10">
      <c r="J3" s="99" t="s">
        <v>1055</v>
      </c>
    </row>
    <row r="4" ht="24.95" customHeight="1" spans="1:10">
      <c r="A4" s="93" t="s">
        <v>1594</v>
      </c>
      <c r="B4" s="94" t="s">
        <v>1061</v>
      </c>
      <c r="C4" s="94" t="s">
        <v>1176</v>
      </c>
      <c r="D4" s="94" t="s">
        <v>1177</v>
      </c>
      <c r="E4" s="94" t="s">
        <v>1595</v>
      </c>
      <c r="F4" s="94" t="s">
        <v>1182</v>
      </c>
      <c r="G4" s="94" t="s">
        <v>1596</v>
      </c>
      <c r="H4" s="94" t="s">
        <v>1180</v>
      </c>
      <c r="I4" s="94" t="s">
        <v>1179</v>
      </c>
      <c r="J4" s="94" t="s">
        <v>1181</v>
      </c>
    </row>
    <row r="5" ht="40.5" spans="1:10">
      <c r="A5" s="95" t="s">
        <v>1604</v>
      </c>
      <c r="B5" s="96">
        <f>SUM(C5:J5)</f>
        <v>144</v>
      </c>
      <c r="C5" s="97">
        <v>77.329213</v>
      </c>
      <c r="D5" s="97">
        <v>0.284647</v>
      </c>
      <c r="E5" s="97">
        <v>3.921809</v>
      </c>
      <c r="F5" s="97">
        <v>9.424992</v>
      </c>
      <c r="G5" s="97">
        <v>7.274323</v>
      </c>
      <c r="H5" s="97">
        <v>23.752284</v>
      </c>
      <c r="I5" s="97">
        <v>19.988573</v>
      </c>
      <c r="J5" s="97">
        <v>2.024159</v>
      </c>
    </row>
    <row r="11" ht="15" spans="8:8">
      <c r="H11" s="98"/>
    </row>
  </sheetData>
  <mergeCells count="1">
    <mergeCell ref="A2:J2"/>
  </mergeCells>
  <pageMargins left="0.75" right="0.75" top="1" bottom="1" header="0.5" footer="0.5"/>
  <pageSetup paperSize="9" orientation="landscape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6"/>
  <sheetViews>
    <sheetView showZeros="0" view="pageBreakPreview" zoomScale="130" zoomScaleNormal="100" zoomScaleSheetLayoutView="130" workbookViewId="0">
      <pane xSplit="1" ySplit="6" topLeftCell="B7" activePane="bottomRight" state="frozen"/>
      <selection/>
      <selection pane="topRight"/>
      <selection pane="bottomLeft"/>
      <selection pane="bottomRight" activeCell="D26" sqref="D26"/>
    </sheetView>
  </sheetViews>
  <sheetFormatPr defaultColWidth="9" defaultRowHeight="12.75"/>
  <cols>
    <col min="1" max="1" width="48.375" style="3" customWidth="1"/>
    <col min="2" max="3" width="11.5" style="4" customWidth="1"/>
    <col min="4" max="4" width="11.6916666666667" style="6" customWidth="1"/>
    <col min="5" max="5" width="12.375" style="7" hidden="1" customWidth="1"/>
    <col min="6" max="6" width="9.375" style="4" customWidth="1"/>
    <col min="7" max="7" width="9.375" style="6" customWidth="1"/>
    <col min="8" max="8" width="11.5" style="4" customWidth="1"/>
    <col min="9" max="9" width="9.375" style="4" customWidth="1"/>
    <col min="10" max="10" width="10.375" style="6" customWidth="1"/>
    <col min="11" max="11" width="14.125" style="3" customWidth="1"/>
    <col min="12" max="12" width="10.875" style="3" customWidth="1"/>
    <col min="13" max="13" width="16.75" style="3" customWidth="1"/>
    <col min="14" max="14" width="10.5" style="3"/>
    <col min="15" max="15" width="9" style="7"/>
    <col min="16" max="16384" width="9" style="3"/>
  </cols>
  <sheetData>
    <row r="1" ht="20.25" spans="1:1">
      <c r="A1" s="9"/>
    </row>
    <row r="2" ht="35.25" customHeight="1" spans="1:11">
      <c r="A2" s="10" t="s">
        <v>1605</v>
      </c>
      <c r="B2" s="11"/>
      <c r="C2" s="11"/>
      <c r="D2" s="12"/>
      <c r="E2" s="10"/>
      <c r="F2" s="11"/>
      <c r="G2" s="12"/>
      <c r="H2" s="11"/>
      <c r="I2" s="11"/>
      <c r="J2" s="12"/>
      <c r="K2" s="8"/>
    </row>
    <row r="3" ht="17.25" customHeight="1" spans="1:10">
      <c r="A3" s="1"/>
      <c r="B3" s="13"/>
      <c r="C3" s="13"/>
      <c r="D3" s="15"/>
      <c r="E3" s="41"/>
      <c r="F3" s="13"/>
      <c r="G3" s="15"/>
      <c r="H3" s="13"/>
      <c r="I3" s="48" t="s">
        <v>1055</v>
      </c>
      <c r="J3" s="76"/>
    </row>
    <row r="4" ht="17.25" customHeight="1" spans="1:17">
      <c r="A4" s="16" t="s">
        <v>1139</v>
      </c>
      <c r="B4" s="58" t="s">
        <v>1197</v>
      </c>
      <c r="C4" s="59"/>
      <c r="D4" s="60"/>
      <c r="E4" s="70"/>
      <c r="F4" s="59"/>
      <c r="G4" s="71"/>
      <c r="H4" s="17" t="s">
        <v>36</v>
      </c>
      <c r="I4" s="17"/>
      <c r="J4" s="18"/>
      <c r="K4" s="77"/>
      <c r="L4" s="1"/>
      <c r="M4" s="81"/>
      <c r="N4" s="1"/>
      <c r="O4" s="41"/>
      <c r="P4" s="1"/>
      <c r="Q4" s="1"/>
    </row>
    <row r="5" ht="17.25" customHeight="1" spans="1:17">
      <c r="A5" s="16"/>
      <c r="B5" s="61" t="s">
        <v>1503</v>
      </c>
      <c r="C5" s="61" t="s">
        <v>38</v>
      </c>
      <c r="D5" s="20" t="s">
        <v>1606</v>
      </c>
      <c r="E5" s="16" t="s">
        <v>1199</v>
      </c>
      <c r="F5" s="58" t="s">
        <v>1200</v>
      </c>
      <c r="G5" s="71"/>
      <c r="H5" s="17" t="s">
        <v>42</v>
      </c>
      <c r="I5" s="17" t="s">
        <v>43</v>
      </c>
      <c r="J5" s="18"/>
      <c r="K5" s="77"/>
      <c r="L5" s="1"/>
      <c r="M5" s="81"/>
      <c r="N5" s="1"/>
      <c r="O5" s="41"/>
      <c r="P5" s="1"/>
      <c r="Q5" s="1"/>
    </row>
    <row r="6" ht="17.25" customHeight="1" spans="1:17">
      <c r="A6" s="16"/>
      <c r="B6" s="62"/>
      <c r="C6" s="62"/>
      <c r="D6" s="21"/>
      <c r="E6" s="16"/>
      <c r="F6" s="17" t="s">
        <v>44</v>
      </c>
      <c r="G6" s="18" t="s">
        <v>45</v>
      </c>
      <c r="H6" s="17"/>
      <c r="I6" s="17" t="s">
        <v>44</v>
      </c>
      <c r="J6" s="18" t="s">
        <v>45</v>
      </c>
      <c r="K6" s="77"/>
      <c r="L6" s="1"/>
      <c r="M6" s="81"/>
      <c r="O6" s="41"/>
      <c r="P6" s="1"/>
      <c r="Q6" s="1"/>
    </row>
    <row r="7" ht="21.75" customHeight="1" spans="1:14">
      <c r="A7" s="64" t="s">
        <v>1607</v>
      </c>
      <c r="B7" s="65">
        <f t="shared" ref="B7:F7" si="0">B8+B9+B10+B11</f>
        <v>1585812</v>
      </c>
      <c r="C7" s="65">
        <f t="shared" si="0"/>
        <v>1576938</v>
      </c>
      <c r="D7" s="69">
        <f t="shared" ref="D7:D11" si="1">C7/B7</f>
        <v>0.994404128610453</v>
      </c>
      <c r="E7" s="65">
        <f t="shared" si="0"/>
        <v>1415734</v>
      </c>
      <c r="F7" s="65">
        <f t="shared" si="0"/>
        <v>161204</v>
      </c>
      <c r="G7" s="69">
        <f t="shared" ref="G7:G11" si="2">F7/E7</f>
        <v>0.113866022854576</v>
      </c>
      <c r="H7" s="65">
        <f>H8+H9+H10+H11</f>
        <v>1630096</v>
      </c>
      <c r="I7" s="65">
        <f t="shared" ref="I7:I28" si="3">H7-C7</f>
        <v>53158</v>
      </c>
      <c r="J7" s="69">
        <f t="shared" ref="J7:J11" si="4">I7/C7</f>
        <v>0.0337096322112854</v>
      </c>
      <c r="K7" s="78"/>
      <c r="L7" s="8"/>
      <c r="M7" s="7"/>
      <c r="N7" s="4"/>
    </row>
    <row r="8" ht="21.75" customHeight="1" spans="1:14">
      <c r="A8" s="22" t="s">
        <v>1608</v>
      </c>
      <c r="B8" s="29">
        <v>270853</v>
      </c>
      <c r="C8" s="29">
        <v>262198</v>
      </c>
      <c r="D8" s="69">
        <v>0.968</v>
      </c>
      <c r="E8" s="65">
        <v>271047</v>
      </c>
      <c r="F8" s="29">
        <v>-8849</v>
      </c>
      <c r="G8" s="69">
        <f t="shared" si="2"/>
        <v>-0.032647474423255</v>
      </c>
      <c r="H8" s="65">
        <v>254895</v>
      </c>
      <c r="I8" s="65">
        <f t="shared" si="3"/>
        <v>-7303</v>
      </c>
      <c r="J8" s="69">
        <f t="shared" si="4"/>
        <v>-0.027852996590363</v>
      </c>
      <c r="K8" s="54"/>
      <c r="L8" s="8"/>
      <c r="M8" s="7"/>
      <c r="N8" s="4"/>
    </row>
    <row r="9" ht="21.75" customHeight="1" spans="1:14">
      <c r="A9" s="22" t="s">
        <v>1609</v>
      </c>
      <c r="B9" s="29">
        <v>289784</v>
      </c>
      <c r="C9" s="29">
        <v>290185</v>
      </c>
      <c r="D9" s="63">
        <f t="shared" si="1"/>
        <v>1.00138378930514</v>
      </c>
      <c r="E9" s="65">
        <v>148545</v>
      </c>
      <c r="F9" s="65">
        <f>C9-E9</f>
        <v>141640</v>
      </c>
      <c r="G9" s="69">
        <f t="shared" si="2"/>
        <v>0.953515769632098</v>
      </c>
      <c r="H9" s="29">
        <v>316610</v>
      </c>
      <c r="I9" s="65">
        <f t="shared" si="3"/>
        <v>26425</v>
      </c>
      <c r="J9" s="69">
        <f t="shared" si="4"/>
        <v>0.091062597997829</v>
      </c>
      <c r="K9" s="54"/>
      <c r="L9" s="89"/>
      <c r="M9" s="7"/>
      <c r="N9" s="4"/>
    </row>
    <row r="10" ht="21.75" customHeight="1" spans="1:14">
      <c r="A10" s="22" t="s">
        <v>1610</v>
      </c>
      <c r="B10" s="29">
        <v>428464</v>
      </c>
      <c r="C10" s="29">
        <v>429122</v>
      </c>
      <c r="D10" s="63">
        <f t="shared" si="1"/>
        <v>1.00153571828672</v>
      </c>
      <c r="E10" s="65">
        <v>382137</v>
      </c>
      <c r="F10" s="65">
        <f>C10-E10</f>
        <v>46985</v>
      </c>
      <c r="G10" s="69">
        <f t="shared" si="2"/>
        <v>0.122953286386819</v>
      </c>
      <c r="H10" s="65">
        <v>440255</v>
      </c>
      <c r="I10" s="65">
        <f t="shared" si="3"/>
        <v>11133</v>
      </c>
      <c r="J10" s="69">
        <f t="shared" si="4"/>
        <v>0.025943671030616</v>
      </c>
      <c r="K10" s="54"/>
      <c r="L10" s="8"/>
      <c r="M10" s="7"/>
      <c r="N10" s="4"/>
    </row>
    <row r="11" ht="21.75" customHeight="1" spans="1:14">
      <c r="A11" s="22" t="s">
        <v>1611</v>
      </c>
      <c r="B11" s="82">
        <v>596711</v>
      </c>
      <c r="C11" s="82">
        <v>595433</v>
      </c>
      <c r="D11" s="63">
        <f t="shared" si="1"/>
        <v>0.997858259693553</v>
      </c>
      <c r="E11" s="82">
        <v>614005</v>
      </c>
      <c r="F11" s="29">
        <v>-18572</v>
      </c>
      <c r="G11" s="69">
        <f t="shared" si="2"/>
        <v>-0.0302473106896524</v>
      </c>
      <c r="H11" s="82">
        <v>618336</v>
      </c>
      <c r="I11" s="65">
        <f t="shared" si="3"/>
        <v>22903</v>
      </c>
      <c r="J11" s="69">
        <f t="shared" si="4"/>
        <v>0.038464445202063</v>
      </c>
      <c r="K11" s="54"/>
      <c r="L11" s="8"/>
      <c r="M11" s="7"/>
      <c r="N11" s="4"/>
    </row>
    <row r="12" ht="21.75" hidden="1" customHeight="1" spans="1:14">
      <c r="A12" s="22" t="s">
        <v>1612</v>
      </c>
      <c r="B12" s="29"/>
      <c r="C12" s="29"/>
      <c r="D12" s="63"/>
      <c r="E12" s="72"/>
      <c r="F12" s="72"/>
      <c r="G12" s="69"/>
      <c r="H12" s="65"/>
      <c r="I12" s="65">
        <f t="shared" si="3"/>
        <v>0</v>
      </c>
      <c r="J12" s="69"/>
      <c r="K12" s="8"/>
      <c r="L12" s="8"/>
      <c r="M12" s="7"/>
      <c r="N12" s="4"/>
    </row>
    <row r="13" ht="21" hidden="1" customHeight="1" spans="1:12">
      <c r="A13" s="22" t="s">
        <v>1613</v>
      </c>
      <c r="B13" s="67"/>
      <c r="C13" s="68"/>
      <c r="D13" s="69"/>
      <c r="E13" s="75"/>
      <c r="F13" s="67"/>
      <c r="G13" s="69"/>
      <c r="H13" s="67"/>
      <c r="I13" s="67"/>
      <c r="J13" s="69"/>
      <c r="K13" s="54"/>
      <c r="L13" s="54"/>
    </row>
    <row r="15" spans="1:5">
      <c r="A15" s="3">
        <v>0</v>
      </c>
      <c r="E15" s="4"/>
    </row>
    <row r="17" spans="5:5">
      <c r="E17" s="4"/>
    </row>
    <row r="26" spans="12:12">
      <c r="L26" s="4"/>
    </row>
  </sheetData>
  <mergeCells count="14">
    <mergeCell ref="A2:J2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  <mergeCell ref="K4:K6"/>
    <mergeCell ref="M4:M6"/>
  </mergeCells>
  <printOptions horizontalCentered="1"/>
  <pageMargins left="0.22" right="0.17" top="0.8" bottom="0.74" header="0.51" footer="0.51"/>
  <pageSetup paperSize="9" scale="75" fitToHeight="0" orientation="landscape" horizontalDpi="600" verticalDpi="600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showZeros="0" view="pageBreakPreview" zoomScale="90" zoomScaleNormal="100" zoomScaleSheetLayoutView="90" workbookViewId="0">
      <pane xSplit="1" ySplit="6" topLeftCell="B7" activePane="bottomRight" state="frozen"/>
      <selection/>
      <selection pane="topRight"/>
      <selection pane="bottomLeft"/>
      <selection pane="bottomRight" activeCell="D19" sqref="D19"/>
    </sheetView>
  </sheetViews>
  <sheetFormatPr defaultColWidth="9" defaultRowHeight="12.75"/>
  <cols>
    <col min="1" max="1" width="46.125" style="3" customWidth="1"/>
    <col min="2" max="2" width="13.75" style="4" customWidth="1"/>
    <col min="3" max="3" width="12.875" style="5" customWidth="1"/>
    <col min="4" max="4" width="11.75" style="6" customWidth="1"/>
    <col min="5" max="5" width="14.5" style="7" customWidth="1"/>
    <col min="6" max="6" width="13" style="4" customWidth="1"/>
    <col min="7" max="7" width="13.25" style="6" customWidth="1"/>
    <col min="8" max="8" width="10.625" style="5" customWidth="1"/>
    <col min="9" max="9" width="13.125" style="4" customWidth="1"/>
    <col min="10" max="10" width="9.875" style="7" customWidth="1"/>
    <col min="11" max="11" width="11.375" style="8" customWidth="1"/>
    <col min="12" max="16384" width="9" style="3"/>
  </cols>
  <sheetData>
    <row r="1" ht="17.25" customHeight="1" spans="1:1">
      <c r="A1" s="9"/>
    </row>
    <row r="2" ht="35.25" customHeight="1" spans="1:10">
      <c r="A2" s="10" t="s">
        <v>1614</v>
      </c>
      <c r="B2" s="11"/>
      <c r="C2" s="11"/>
      <c r="D2" s="12"/>
      <c r="E2" s="10"/>
      <c r="F2" s="11"/>
      <c r="G2" s="12"/>
      <c r="H2" s="11"/>
      <c r="I2" s="11"/>
      <c r="J2" s="10"/>
    </row>
    <row r="3" s="1" customFormat="1" ht="22.5" customHeight="1" spans="2:11">
      <c r="B3" s="13"/>
      <c r="C3" s="14"/>
      <c r="D3" s="15"/>
      <c r="E3" s="41"/>
      <c r="F3" s="13"/>
      <c r="G3" s="15"/>
      <c r="H3" s="14"/>
      <c r="I3" s="48" t="s">
        <v>1055</v>
      </c>
      <c r="J3" s="49"/>
      <c r="K3" s="50"/>
    </row>
    <row r="4" s="1" customFormat="1" ht="17.25" customHeight="1" spans="1:11">
      <c r="A4" s="16" t="s">
        <v>1139</v>
      </c>
      <c r="B4" s="17" t="s">
        <v>1197</v>
      </c>
      <c r="C4" s="17"/>
      <c r="D4" s="18"/>
      <c r="E4" s="16"/>
      <c r="F4" s="17"/>
      <c r="G4" s="18"/>
      <c r="H4" s="17" t="s">
        <v>36</v>
      </c>
      <c r="I4" s="17"/>
      <c r="J4" s="16"/>
      <c r="K4" s="51"/>
    </row>
    <row r="5" s="1" customFormat="1" ht="17.25" customHeight="1" spans="1:11">
      <c r="A5" s="16"/>
      <c r="B5" s="17" t="s">
        <v>1503</v>
      </c>
      <c r="C5" s="19" t="s">
        <v>38</v>
      </c>
      <c r="D5" s="20" t="s">
        <v>1606</v>
      </c>
      <c r="E5" s="42" t="s">
        <v>1199</v>
      </c>
      <c r="F5" s="17" t="s">
        <v>1200</v>
      </c>
      <c r="G5" s="18"/>
      <c r="H5" s="19" t="s">
        <v>42</v>
      </c>
      <c r="I5" s="17" t="s">
        <v>43</v>
      </c>
      <c r="J5" s="16"/>
      <c r="K5" s="51"/>
    </row>
    <row r="6" s="1" customFormat="1" ht="17.25" customHeight="1" spans="1:11">
      <c r="A6" s="16"/>
      <c r="B6" s="17"/>
      <c r="C6" s="19"/>
      <c r="D6" s="21"/>
      <c r="E6" s="43"/>
      <c r="F6" s="17" t="s">
        <v>44</v>
      </c>
      <c r="G6" s="18" t="s">
        <v>45</v>
      </c>
      <c r="H6" s="19"/>
      <c r="I6" s="17" t="s">
        <v>44</v>
      </c>
      <c r="J6" s="52" t="s">
        <v>45</v>
      </c>
      <c r="K6" s="51"/>
    </row>
    <row r="7" s="2" customFormat="1" ht="21" customHeight="1" spans="1:11">
      <c r="A7" s="28" t="s">
        <v>1615</v>
      </c>
      <c r="B7" s="23">
        <f>B8+B21+B27+B14</f>
        <v>942007.55</v>
      </c>
      <c r="C7" s="23">
        <f t="shared" ref="C7:H7" si="0">C8+C21+C27+C14</f>
        <v>932172</v>
      </c>
      <c r="D7" s="25">
        <f t="shared" ref="D7:D9" si="1">C7/B7</f>
        <v>0.989558947802488</v>
      </c>
      <c r="E7" s="23">
        <f t="shared" si="0"/>
        <v>945938.735308</v>
      </c>
      <c r="F7" s="23">
        <f t="shared" ref="F7:F35" si="2">C7-E7</f>
        <v>-13766.7353079999</v>
      </c>
      <c r="G7" s="25">
        <f t="shared" ref="G7:G44" si="3">F7/E7</f>
        <v>-0.0145535168337487</v>
      </c>
      <c r="H7" s="23">
        <f t="shared" si="0"/>
        <v>948397.387759</v>
      </c>
      <c r="I7" s="23">
        <f t="shared" ref="I7:I35" si="4">H7-C7</f>
        <v>16225.3877589999</v>
      </c>
      <c r="J7" s="25">
        <f t="shared" ref="J7:J9" si="5">I7/C7</f>
        <v>0.017406002067215</v>
      </c>
      <c r="K7" s="55"/>
    </row>
    <row r="8" s="1" customFormat="1" ht="21" customHeight="1" spans="1:11">
      <c r="A8" s="26" t="s">
        <v>1616</v>
      </c>
      <c r="B8" s="29">
        <f>SUM(B9:B13)</f>
        <v>270853</v>
      </c>
      <c r="C8" s="29">
        <f t="shared" ref="C8:H8" si="6">SUM(C9:C13)</f>
        <v>262198</v>
      </c>
      <c r="D8" s="25">
        <f t="shared" si="1"/>
        <v>0.968045397318841</v>
      </c>
      <c r="E8" s="29">
        <f t="shared" si="6"/>
        <v>271046</v>
      </c>
      <c r="F8" s="23">
        <f t="shared" si="2"/>
        <v>-8848</v>
      </c>
      <c r="G8" s="25">
        <f t="shared" si="3"/>
        <v>-0.0326439054625414</v>
      </c>
      <c r="H8" s="29">
        <f t="shared" si="6"/>
        <v>254895</v>
      </c>
      <c r="I8" s="23">
        <f t="shared" si="4"/>
        <v>-7303</v>
      </c>
      <c r="J8" s="25">
        <f t="shared" si="5"/>
        <v>-0.027852996590363</v>
      </c>
      <c r="K8" s="53"/>
    </row>
    <row r="9" s="1" customFormat="1" ht="21" customHeight="1" spans="1:11">
      <c r="A9" s="26" t="s">
        <v>1617</v>
      </c>
      <c r="B9" s="29">
        <v>252750</v>
      </c>
      <c r="C9" s="31">
        <v>247227</v>
      </c>
      <c r="D9" s="25">
        <f t="shared" si="1"/>
        <v>0.978148367952522</v>
      </c>
      <c r="E9" s="82">
        <v>253960</v>
      </c>
      <c r="F9" s="23">
        <f t="shared" si="2"/>
        <v>-6733</v>
      </c>
      <c r="G9" s="25">
        <f t="shared" si="3"/>
        <v>-0.0265120491415971</v>
      </c>
      <c r="H9" s="31">
        <v>240000</v>
      </c>
      <c r="I9" s="23">
        <f t="shared" si="4"/>
        <v>-7227</v>
      </c>
      <c r="J9" s="25">
        <f t="shared" si="5"/>
        <v>-0.0292322440510138</v>
      </c>
      <c r="K9" s="53"/>
    </row>
    <row r="10" s="1" customFormat="1" ht="21" customHeight="1" spans="1:11">
      <c r="A10" s="26" t="s">
        <v>1618</v>
      </c>
      <c r="B10" s="29"/>
      <c r="C10" s="31"/>
      <c r="D10" s="25"/>
      <c r="E10" s="82">
        <v>510</v>
      </c>
      <c r="F10" s="23">
        <f t="shared" si="2"/>
        <v>-510</v>
      </c>
      <c r="G10" s="25">
        <f t="shared" si="3"/>
        <v>-1</v>
      </c>
      <c r="H10" s="31"/>
      <c r="I10" s="23">
        <f t="shared" si="4"/>
        <v>0</v>
      </c>
      <c r="J10" s="25"/>
      <c r="K10" s="53"/>
    </row>
    <row r="11" s="1" customFormat="1" ht="21" customHeight="1" spans="1:11">
      <c r="A11" s="27" t="s">
        <v>1619</v>
      </c>
      <c r="B11" s="23">
        <v>5097</v>
      </c>
      <c r="C11" s="24">
        <v>5333</v>
      </c>
      <c r="D11" s="25">
        <f t="shared" ref="D11:D44" si="7">C11/B11</f>
        <v>1.04630174612517</v>
      </c>
      <c r="E11" s="82">
        <v>6049</v>
      </c>
      <c r="F11" s="23">
        <f t="shared" si="2"/>
        <v>-716</v>
      </c>
      <c r="G11" s="25">
        <f t="shared" si="3"/>
        <v>-0.118366672177219</v>
      </c>
      <c r="H11" s="24">
        <v>4900</v>
      </c>
      <c r="I11" s="23">
        <f t="shared" si="4"/>
        <v>-433</v>
      </c>
      <c r="J11" s="25">
        <f t="shared" ref="J11:J53" si="8">I11/C11</f>
        <v>-0.0811925745359085</v>
      </c>
      <c r="K11" s="53"/>
    </row>
    <row r="12" s="1" customFormat="1" ht="21" customHeight="1" spans="1:11">
      <c r="A12" s="27" t="s">
        <v>69</v>
      </c>
      <c r="B12" s="23">
        <v>10938</v>
      </c>
      <c r="C12" s="24">
        <v>8239</v>
      </c>
      <c r="D12" s="25">
        <f t="shared" si="7"/>
        <v>0.753245565916987</v>
      </c>
      <c r="E12" s="82">
        <v>8928</v>
      </c>
      <c r="F12" s="23">
        <f t="shared" si="2"/>
        <v>-689</v>
      </c>
      <c r="G12" s="25">
        <f t="shared" si="3"/>
        <v>-0.0771729390681004</v>
      </c>
      <c r="H12" s="24">
        <v>8596</v>
      </c>
      <c r="I12" s="23">
        <f t="shared" si="4"/>
        <v>357</v>
      </c>
      <c r="J12" s="25">
        <f t="shared" si="8"/>
        <v>0.0433305012744265</v>
      </c>
      <c r="K12" s="53"/>
    </row>
    <row r="13" s="1" customFormat="1" ht="21" customHeight="1" spans="1:11">
      <c r="A13" s="27" t="s">
        <v>1620</v>
      </c>
      <c r="B13" s="29">
        <v>2068</v>
      </c>
      <c r="C13" s="31">
        <v>1399</v>
      </c>
      <c r="D13" s="25">
        <f t="shared" si="7"/>
        <v>0.676499032882012</v>
      </c>
      <c r="E13" s="82">
        <v>1599</v>
      </c>
      <c r="F13" s="23">
        <f t="shared" si="2"/>
        <v>-200</v>
      </c>
      <c r="G13" s="25">
        <f t="shared" si="3"/>
        <v>-0.125078173858662</v>
      </c>
      <c r="H13" s="31">
        <v>1399</v>
      </c>
      <c r="I13" s="23">
        <f t="shared" si="4"/>
        <v>0</v>
      </c>
      <c r="J13" s="25">
        <f t="shared" si="8"/>
        <v>0</v>
      </c>
      <c r="K13" s="53"/>
    </row>
    <row r="14" s="1" customFormat="1" ht="21" customHeight="1" spans="1:11">
      <c r="A14" s="26" t="s">
        <v>1609</v>
      </c>
      <c r="B14" s="82">
        <f>SUM(B15:B20)</f>
        <v>3981</v>
      </c>
      <c r="C14" s="82">
        <f t="shared" ref="C14:H14" si="9">SUM(C15:C20)</f>
        <v>3799</v>
      </c>
      <c r="D14" s="25">
        <f t="shared" si="7"/>
        <v>0.954282843506657</v>
      </c>
      <c r="E14" s="82">
        <f t="shared" si="9"/>
        <v>1701</v>
      </c>
      <c r="F14" s="23">
        <f t="shared" si="2"/>
        <v>2098</v>
      </c>
      <c r="G14" s="25">
        <f t="shared" si="3"/>
        <v>1.23339212228101</v>
      </c>
      <c r="H14" s="82">
        <f t="shared" si="9"/>
        <v>4750.707759</v>
      </c>
      <c r="I14" s="23">
        <f t="shared" si="4"/>
        <v>951.707759000001</v>
      </c>
      <c r="J14" s="25">
        <f t="shared" si="8"/>
        <v>0.250515335351409</v>
      </c>
      <c r="K14" s="54"/>
    </row>
    <row r="15" s="1" customFormat="1" ht="21" customHeight="1" spans="1:11">
      <c r="A15" s="26" t="s">
        <v>1621</v>
      </c>
      <c r="B15" s="82">
        <v>1446</v>
      </c>
      <c r="C15" s="31">
        <v>1773</v>
      </c>
      <c r="D15" s="25">
        <f t="shared" si="7"/>
        <v>1.22614107883817</v>
      </c>
      <c r="E15" s="34">
        <v>1274</v>
      </c>
      <c r="F15" s="23">
        <f t="shared" si="2"/>
        <v>499</v>
      </c>
      <c r="G15" s="25">
        <f t="shared" si="3"/>
        <v>0.391679748822606</v>
      </c>
      <c r="H15" s="31">
        <v>1550</v>
      </c>
      <c r="I15" s="23">
        <f t="shared" si="4"/>
        <v>-223</v>
      </c>
      <c r="J15" s="25">
        <f t="shared" si="8"/>
        <v>-0.125775521714608</v>
      </c>
      <c r="K15" s="54"/>
    </row>
    <row r="16" s="1" customFormat="1" ht="21" customHeight="1" spans="1:11">
      <c r="A16" s="26" t="s">
        <v>1622</v>
      </c>
      <c r="B16" s="82">
        <v>4</v>
      </c>
      <c r="C16" s="31">
        <v>6</v>
      </c>
      <c r="D16" s="25">
        <f t="shared" si="7"/>
        <v>1.5</v>
      </c>
      <c r="E16" s="34">
        <v>14</v>
      </c>
      <c r="F16" s="23">
        <f t="shared" si="2"/>
        <v>-8</v>
      </c>
      <c r="G16" s="25">
        <f t="shared" si="3"/>
        <v>-0.571428571428571</v>
      </c>
      <c r="H16" s="31">
        <v>4</v>
      </c>
      <c r="I16" s="23">
        <f t="shared" si="4"/>
        <v>-2</v>
      </c>
      <c r="J16" s="25">
        <f t="shared" si="8"/>
        <v>-0.333333333333333</v>
      </c>
      <c r="K16" s="54"/>
    </row>
    <row r="17" s="1" customFormat="1" ht="21" customHeight="1" spans="1:11">
      <c r="A17" s="26" t="s">
        <v>1623</v>
      </c>
      <c r="B17" s="82">
        <v>2424</v>
      </c>
      <c r="C17" s="31">
        <v>1899</v>
      </c>
      <c r="D17" s="25">
        <f t="shared" si="7"/>
        <v>0.783415841584158</v>
      </c>
      <c r="E17" s="34">
        <v>250</v>
      </c>
      <c r="F17" s="23">
        <f t="shared" si="2"/>
        <v>1649</v>
      </c>
      <c r="G17" s="25">
        <f t="shared" si="3"/>
        <v>6.596</v>
      </c>
      <c r="H17" s="31">
        <v>3084.405</v>
      </c>
      <c r="I17" s="23">
        <f t="shared" si="4"/>
        <v>1185.405</v>
      </c>
      <c r="J17" s="25">
        <f t="shared" si="8"/>
        <v>0.624225908372828</v>
      </c>
      <c r="K17" s="54"/>
    </row>
    <row r="18" s="1" customFormat="1" ht="21" customHeight="1" spans="1:11">
      <c r="A18" s="26" t="s">
        <v>1624</v>
      </c>
      <c r="B18" s="82">
        <v>85</v>
      </c>
      <c r="C18" s="31">
        <v>31</v>
      </c>
      <c r="D18" s="25">
        <f t="shared" si="7"/>
        <v>0.364705882352941</v>
      </c>
      <c r="E18" s="34">
        <v>149</v>
      </c>
      <c r="F18" s="23">
        <f t="shared" si="2"/>
        <v>-118</v>
      </c>
      <c r="G18" s="25">
        <f t="shared" si="3"/>
        <v>-0.791946308724832</v>
      </c>
      <c r="H18" s="31">
        <v>25.6</v>
      </c>
      <c r="I18" s="23">
        <f t="shared" si="4"/>
        <v>-5.4</v>
      </c>
      <c r="J18" s="25">
        <f t="shared" si="8"/>
        <v>-0.174193548387097</v>
      </c>
      <c r="K18" s="54"/>
    </row>
    <row r="19" s="1" customFormat="1" ht="21" customHeight="1" spans="1:11">
      <c r="A19" s="27" t="s">
        <v>1625</v>
      </c>
      <c r="B19" s="82">
        <v>7</v>
      </c>
      <c r="C19" s="31">
        <v>81</v>
      </c>
      <c r="D19" s="25">
        <f t="shared" si="7"/>
        <v>11.5714285714286</v>
      </c>
      <c r="E19" s="34">
        <v>6</v>
      </c>
      <c r="F19" s="23">
        <f t="shared" si="2"/>
        <v>75</v>
      </c>
      <c r="G19" s="25">
        <f t="shared" si="3"/>
        <v>12.5</v>
      </c>
      <c r="H19" s="31">
        <v>80.702759</v>
      </c>
      <c r="I19" s="23">
        <f t="shared" si="4"/>
        <v>-0.297241</v>
      </c>
      <c r="J19" s="25">
        <f t="shared" si="8"/>
        <v>-0.00366964197530864</v>
      </c>
      <c r="K19" s="54"/>
    </row>
    <row r="20" s="1" customFormat="1" ht="21" customHeight="1" spans="1:11">
      <c r="A20" s="27" t="s">
        <v>1626</v>
      </c>
      <c r="B20" s="82">
        <v>15</v>
      </c>
      <c r="C20" s="31">
        <v>9</v>
      </c>
      <c r="D20" s="25">
        <f t="shared" si="7"/>
        <v>0.6</v>
      </c>
      <c r="E20" s="34">
        <v>8</v>
      </c>
      <c r="F20" s="23">
        <f t="shared" si="2"/>
        <v>1</v>
      </c>
      <c r="G20" s="25">
        <f t="shared" si="3"/>
        <v>0.125</v>
      </c>
      <c r="H20" s="24">
        <v>6</v>
      </c>
      <c r="I20" s="23">
        <f t="shared" si="4"/>
        <v>-3</v>
      </c>
      <c r="J20" s="25">
        <f t="shared" si="8"/>
        <v>-0.333333333333333</v>
      </c>
      <c r="K20" s="54"/>
    </row>
    <row r="21" s="1" customFormat="1" ht="21" customHeight="1" spans="1:11">
      <c r="A21" s="22" t="s">
        <v>1610</v>
      </c>
      <c r="B21" s="29">
        <f>SUM(B22:B26)</f>
        <v>70462.55</v>
      </c>
      <c r="C21" s="29">
        <f t="shared" ref="C21:H21" si="10">SUM(C22:C26)</f>
        <v>70742</v>
      </c>
      <c r="D21" s="25">
        <f t="shared" si="7"/>
        <v>1.00396593651521</v>
      </c>
      <c r="E21" s="29">
        <f t="shared" si="10"/>
        <v>59187.08</v>
      </c>
      <c r="F21" s="23">
        <f t="shared" si="2"/>
        <v>11554.92</v>
      </c>
      <c r="G21" s="25">
        <f t="shared" si="3"/>
        <v>0.19522706644761</v>
      </c>
      <c r="H21" s="29">
        <f t="shared" si="10"/>
        <v>70415.68</v>
      </c>
      <c r="I21" s="23">
        <f t="shared" si="4"/>
        <v>-326.320000000007</v>
      </c>
      <c r="J21" s="25">
        <f t="shared" si="8"/>
        <v>-0.00461281841056242</v>
      </c>
      <c r="K21" s="53"/>
    </row>
    <row r="22" s="1" customFormat="1" ht="21" customHeight="1" spans="1:11">
      <c r="A22" s="26" t="s">
        <v>1617</v>
      </c>
      <c r="B22" s="29">
        <v>41019.8</v>
      </c>
      <c r="C22" s="33">
        <v>40720</v>
      </c>
      <c r="D22" s="25">
        <f t="shared" si="7"/>
        <v>0.992691334428739</v>
      </c>
      <c r="E22" s="29">
        <v>42483.02</v>
      </c>
      <c r="F22" s="23">
        <f t="shared" si="2"/>
        <v>-1763.02</v>
      </c>
      <c r="G22" s="25">
        <f t="shared" si="3"/>
        <v>-0.0414994037617853</v>
      </c>
      <c r="H22" s="85">
        <v>41060</v>
      </c>
      <c r="I22" s="23">
        <f t="shared" si="4"/>
        <v>340</v>
      </c>
      <c r="J22" s="25">
        <f t="shared" si="8"/>
        <v>0.00834970530451866</v>
      </c>
      <c r="K22" s="53"/>
    </row>
    <row r="23" s="1" customFormat="1" ht="21" customHeight="1" spans="1:11">
      <c r="A23" s="26" t="s">
        <v>1622</v>
      </c>
      <c r="B23" s="29">
        <v>160</v>
      </c>
      <c r="C23" s="83">
        <v>170</v>
      </c>
      <c r="D23" s="25">
        <f t="shared" si="7"/>
        <v>1.0625</v>
      </c>
      <c r="E23" s="29">
        <v>204.56</v>
      </c>
      <c r="F23" s="23">
        <f t="shared" si="2"/>
        <v>-34.56</v>
      </c>
      <c r="G23" s="25">
        <f t="shared" si="3"/>
        <v>-0.168947985921001</v>
      </c>
      <c r="H23" s="86">
        <v>140</v>
      </c>
      <c r="I23" s="23">
        <f t="shared" si="4"/>
        <v>-30</v>
      </c>
      <c r="J23" s="25">
        <f t="shared" si="8"/>
        <v>-0.176470588235294</v>
      </c>
      <c r="K23" s="53"/>
    </row>
    <row r="24" s="1" customFormat="1" ht="21" customHeight="1" spans="1:11">
      <c r="A24" s="27" t="s">
        <v>1627</v>
      </c>
      <c r="B24" s="29">
        <v>28634.75</v>
      </c>
      <c r="C24" s="33">
        <v>29211</v>
      </c>
      <c r="D24" s="25">
        <f t="shared" si="7"/>
        <v>1.02012414985289</v>
      </c>
      <c r="E24" s="29">
        <v>14961</v>
      </c>
      <c r="F24" s="23">
        <f t="shared" si="2"/>
        <v>14250</v>
      </c>
      <c r="G24" s="25">
        <f t="shared" si="3"/>
        <v>0.952476438740726</v>
      </c>
      <c r="H24" s="87">
        <v>28574.68</v>
      </c>
      <c r="I24" s="23">
        <f t="shared" si="4"/>
        <v>-636.32</v>
      </c>
      <c r="J24" s="25">
        <f t="shared" si="8"/>
        <v>-0.0217835746807709</v>
      </c>
      <c r="K24" s="53"/>
    </row>
    <row r="25" s="1" customFormat="1" ht="21" customHeight="1" spans="1:11">
      <c r="A25" s="27" t="s">
        <v>1625</v>
      </c>
      <c r="B25" s="23">
        <v>645</v>
      </c>
      <c r="C25" s="33">
        <v>633</v>
      </c>
      <c r="D25" s="25">
        <f t="shared" si="7"/>
        <v>0.981395348837209</v>
      </c>
      <c r="E25" s="29">
        <v>1515.5</v>
      </c>
      <c r="F25" s="23">
        <f t="shared" si="2"/>
        <v>-882.5</v>
      </c>
      <c r="G25" s="25">
        <f t="shared" si="3"/>
        <v>-0.58231606730452</v>
      </c>
      <c r="H25" s="88">
        <v>600</v>
      </c>
      <c r="I25" s="23">
        <f t="shared" si="4"/>
        <v>-33</v>
      </c>
      <c r="J25" s="25">
        <f t="shared" si="8"/>
        <v>-0.0521327014218009</v>
      </c>
      <c r="K25" s="53"/>
    </row>
    <row r="26" s="1" customFormat="1" ht="21" customHeight="1" spans="1:11">
      <c r="A26" s="84" t="s">
        <v>1624</v>
      </c>
      <c r="B26" s="23">
        <v>3</v>
      </c>
      <c r="C26" s="33">
        <v>8</v>
      </c>
      <c r="D26" s="25">
        <f t="shared" si="7"/>
        <v>2.66666666666667</v>
      </c>
      <c r="E26" s="29">
        <v>23</v>
      </c>
      <c r="F26" s="23">
        <f t="shared" si="2"/>
        <v>-15</v>
      </c>
      <c r="G26" s="25">
        <f t="shared" si="3"/>
        <v>-0.652173913043478</v>
      </c>
      <c r="H26" s="88">
        <v>41</v>
      </c>
      <c r="I26" s="23">
        <f t="shared" si="4"/>
        <v>33</v>
      </c>
      <c r="J26" s="25">
        <f t="shared" si="8"/>
        <v>4.125</v>
      </c>
      <c r="K26" s="53"/>
    </row>
    <row r="27" s="1" customFormat="1" ht="21" customHeight="1" spans="1:11">
      <c r="A27" s="22" t="s">
        <v>1611</v>
      </c>
      <c r="B27" s="82">
        <f>SUM(B28:B31)</f>
        <v>596711</v>
      </c>
      <c r="C27" s="82">
        <f t="shared" ref="C27:H27" si="11">SUM(C28:C31)</f>
        <v>595433</v>
      </c>
      <c r="D27" s="25">
        <f t="shared" si="7"/>
        <v>0.997858259693553</v>
      </c>
      <c r="E27" s="82">
        <f t="shared" si="11"/>
        <v>614004.655308</v>
      </c>
      <c r="F27" s="23">
        <f t="shared" si="2"/>
        <v>-18571.6553079999</v>
      </c>
      <c r="G27" s="25">
        <f t="shared" si="3"/>
        <v>-0.0302467662866235</v>
      </c>
      <c r="H27" s="82">
        <f t="shared" si="11"/>
        <v>618336</v>
      </c>
      <c r="I27" s="23">
        <f t="shared" si="4"/>
        <v>22903</v>
      </c>
      <c r="J27" s="25">
        <f t="shared" si="8"/>
        <v>0.038464445202063</v>
      </c>
      <c r="K27" s="53"/>
    </row>
    <row r="28" s="1" customFormat="1" ht="21" customHeight="1" spans="1:11">
      <c r="A28" s="26" t="s">
        <v>1617</v>
      </c>
      <c r="B28" s="29">
        <v>213378</v>
      </c>
      <c r="C28" s="33">
        <v>213879</v>
      </c>
      <c r="D28" s="25">
        <f t="shared" si="7"/>
        <v>1.00234794589883</v>
      </c>
      <c r="E28" s="29">
        <v>236834.0108</v>
      </c>
      <c r="F28" s="23">
        <f t="shared" si="2"/>
        <v>-22955.0108</v>
      </c>
      <c r="G28" s="25">
        <f t="shared" si="3"/>
        <v>-0.0969244692620812</v>
      </c>
      <c r="H28" s="82">
        <v>218907</v>
      </c>
      <c r="I28" s="23">
        <f t="shared" si="4"/>
        <v>5028</v>
      </c>
      <c r="J28" s="25">
        <f t="shared" si="8"/>
        <v>0.0235086193595444</v>
      </c>
      <c r="K28" s="53"/>
    </row>
    <row r="29" s="1" customFormat="1" ht="21" customHeight="1" spans="1:11">
      <c r="A29" s="27" t="s">
        <v>1619</v>
      </c>
      <c r="B29" s="29">
        <v>4000</v>
      </c>
      <c r="C29" s="33">
        <v>3700</v>
      </c>
      <c r="D29" s="25">
        <f t="shared" si="7"/>
        <v>0.925</v>
      </c>
      <c r="E29" s="29">
        <v>4317.758812</v>
      </c>
      <c r="F29" s="23">
        <f t="shared" si="2"/>
        <v>-617.758812</v>
      </c>
      <c r="G29" s="25">
        <f t="shared" si="3"/>
        <v>-0.143073950838364</v>
      </c>
      <c r="H29" s="46">
        <v>3700</v>
      </c>
      <c r="I29" s="23">
        <f t="shared" si="4"/>
        <v>0</v>
      </c>
      <c r="J29" s="25">
        <f t="shared" si="8"/>
        <v>0</v>
      </c>
      <c r="K29" s="53"/>
    </row>
    <row r="30" s="1" customFormat="1" ht="21" customHeight="1" spans="1:11">
      <c r="A30" s="27" t="s">
        <v>1628</v>
      </c>
      <c r="B30" s="29">
        <v>375333</v>
      </c>
      <c r="C30" s="33">
        <v>373854</v>
      </c>
      <c r="D30" s="25">
        <f t="shared" si="7"/>
        <v>0.996059499164742</v>
      </c>
      <c r="E30" s="29">
        <v>368233.6199</v>
      </c>
      <c r="F30" s="23">
        <f t="shared" si="2"/>
        <v>5620.38010000001</v>
      </c>
      <c r="G30" s="25">
        <f t="shared" si="3"/>
        <v>0.0152630824462099</v>
      </c>
      <c r="H30" s="46">
        <v>392229</v>
      </c>
      <c r="I30" s="23">
        <f t="shared" si="4"/>
        <v>18375</v>
      </c>
      <c r="J30" s="25">
        <f t="shared" si="8"/>
        <v>0.0491502030204304</v>
      </c>
      <c r="K30" s="53"/>
    </row>
    <row r="31" s="1" customFormat="1" ht="21" customHeight="1" spans="1:11">
      <c r="A31" s="84" t="s">
        <v>1629</v>
      </c>
      <c r="B31" s="23">
        <v>4000</v>
      </c>
      <c r="C31" s="31">
        <v>4000</v>
      </c>
      <c r="D31" s="25">
        <f t="shared" si="7"/>
        <v>1</v>
      </c>
      <c r="E31" s="29">
        <v>4619.265796</v>
      </c>
      <c r="F31" s="23">
        <f t="shared" si="2"/>
        <v>-619.265796</v>
      </c>
      <c r="G31" s="25">
        <f t="shared" si="3"/>
        <v>-0.134061520455533</v>
      </c>
      <c r="H31" s="24">
        <v>3500</v>
      </c>
      <c r="I31" s="23">
        <f t="shared" si="4"/>
        <v>-500</v>
      </c>
      <c r="J31" s="25">
        <f t="shared" si="8"/>
        <v>-0.125</v>
      </c>
      <c r="K31" s="53"/>
    </row>
    <row r="32" s="1" customFormat="1" ht="21" hidden="1" customHeight="1" spans="1:11">
      <c r="A32" s="22" t="s">
        <v>1612</v>
      </c>
      <c r="B32" s="23"/>
      <c r="C32" s="24"/>
      <c r="D32" s="25" t="e">
        <f t="shared" si="7"/>
        <v>#DIV/0!</v>
      </c>
      <c r="E32" s="44"/>
      <c r="F32" s="23">
        <f t="shared" si="2"/>
        <v>0</v>
      </c>
      <c r="G32" s="25" t="e">
        <f t="shared" si="3"/>
        <v>#DIV/0!</v>
      </c>
      <c r="H32" s="24"/>
      <c r="I32" s="23">
        <f t="shared" si="4"/>
        <v>0</v>
      </c>
      <c r="J32" s="25" t="e">
        <f t="shared" si="8"/>
        <v>#DIV/0!</v>
      </c>
      <c r="K32" s="53"/>
    </row>
    <row r="33" s="1" customFormat="1" ht="21" hidden="1" customHeight="1" spans="1:11">
      <c r="A33" s="26" t="s">
        <v>1617</v>
      </c>
      <c r="B33" s="23"/>
      <c r="C33" s="24"/>
      <c r="D33" s="25" t="e">
        <f t="shared" si="7"/>
        <v>#DIV/0!</v>
      </c>
      <c r="E33" s="45"/>
      <c r="F33" s="23">
        <f t="shared" si="2"/>
        <v>0</v>
      </c>
      <c r="G33" s="25" t="e">
        <f t="shared" si="3"/>
        <v>#DIV/0!</v>
      </c>
      <c r="H33" s="24"/>
      <c r="I33" s="23">
        <f t="shared" si="4"/>
        <v>0</v>
      </c>
      <c r="J33" s="25" t="e">
        <f t="shared" si="8"/>
        <v>#DIV/0!</v>
      </c>
      <c r="K33" s="53"/>
    </row>
    <row r="34" s="1" customFormat="1" ht="21" hidden="1" customHeight="1" spans="1:11">
      <c r="A34" s="27" t="s">
        <v>1628</v>
      </c>
      <c r="B34" s="23"/>
      <c r="C34" s="24"/>
      <c r="D34" s="25" t="e">
        <f t="shared" si="7"/>
        <v>#DIV/0!</v>
      </c>
      <c r="E34" s="45"/>
      <c r="F34" s="23">
        <f t="shared" si="2"/>
        <v>0</v>
      </c>
      <c r="G34" s="25" t="e">
        <f t="shared" si="3"/>
        <v>#DIV/0!</v>
      </c>
      <c r="H34" s="24"/>
      <c r="I34" s="23">
        <f t="shared" si="4"/>
        <v>0</v>
      </c>
      <c r="J34" s="25" t="e">
        <f t="shared" si="8"/>
        <v>#DIV/0!</v>
      </c>
      <c r="K34" s="54"/>
    </row>
    <row r="35" s="1" customFormat="1" ht="21" hidden="1" customHeight="1" spans="1:11">
      <c r="A35" s="27" t="s">
        <v>69</v>
      </c>
      <c r="B35" s="23"/>
      <c r="C35" s="24"/>
      <c r="D35" s="25" t="e">
        <f t="shared" si="7"/>
        <v>#DIV/0!</v>
      </c>
      <c r="E35" s="45"/>
      <c r="F35" s="23">
        <f t="shared" si="2"/>
        <v>0</v>
      </c>
      <c r="G35" s="25" t="e">
        <f t="shared" si="3"/>
        <v>#DIV/0!</v>
      </c>
      <c r="H35" s="24"/>
      <c r="I35" s="23">
        <f t="shared" si="4"/>
        <v>0</v>
      </c>
      <c r="J35" s="25" t="e">
        <f t="shared" si="8"/>
        <v>#DIV/0!</v>
      </c>
      <c r="K35" s="54"/>
    </row>
    <row r="36" ht="14.25" spans="9:10">
      <c r="I36" s="56"/>
      <c r="J36" s="57"/>
    </row>
    <row r="40" spans="3:3">
      <c r="C40" s="5" t="s">
        <v>1630</v>
      </c>
    </row>
  </sheetData>
  <mergeCells count="13">
    <mergeCell ref="A2:J2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  <mergeCell ref="K4:K6"/>
  </mergeCells>
  <printOptions horizontalCentered="1"/>
  <pageMargins left="0.75" right="0.75" top="0.79" bottom="0.59" header="0.51" footer="0.43"/>
  <pageSetup paperSize="9" scale="75" orientation="landscape" horizontalDpi="600" verticalDpi="600"/>
  <headerFooter alignWithMargins="0"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7"/>
  <sheetViews>
    <sheetView showZeros="0" view="pageBreakPreview" zoomScale="130" zoomScaleNormal="100" zoomScaleSheetLayoutView="130" workbookViewId="0">
      <pane xSplit="1" ySplit="6" topLeftCell="B8" activePane="bottomRight" state="frozen"/>
      <selection/>
      <selection pane="topRight"/>
      <selection pane="bottomLeft"/>
      <selection pane="bottomRight" activeCell="D12" sqref="D12"/>
    </sheetView>
  </sheetViews>
  <sheetFormatPr defaultColWidth="9" defaultRowHeight="12.75"/>
  <cols>
    <col min="1" max="1" width="48.375" style="3" customWidth="1"/>
    <col min="2" max="3" width="11.5" style="4" customWidth="1"/>
    <col min="4" max="4" width="11.6916666666667" style="6" customWidth="1"/>
    <col min="5" max="5" width="12.375" style="7" hidden="1" customWidth="1"/>
    <col min="6" max="6" width="9.375" style="4" customWidth="1"/>
    <col min="7" max="7" width="9.375" style="6" customWidth="1"/>
    <col min="8" max="8" width="11.5" style="4" customWidth="1"/>
    <col min="9" max="9" width="9.375" style="4" customWidth="1"/>
    <col min="10" max="10" width="10.375" style="6" customWidth="1"/>
    <col min="11" max="11" width="14.125" style="3" customWidth="1"/>
    <col min="12" max="12" width="10.875" style="3" customWidth="1"/>
    <col min="13" max="13" width="16.75" style="3" customWidth="1"/>
    <col min="14" max="14" width="10.5" style="3"/>
    <col min="15" max="15" width="9" style="7"/>
    <col min="16" max="16384" width="9" style="3"/>
  </cols>
  <sheetData>
    <row r="1" ht="20.25" spans="1:1">
      <c r="A1" s="9"/>
    </row>
    <row r="2" ht="35.25" customHeight="1" spans="1:11">
      <c r="A2" s="10" t="s">
        <v>1631</v>
      </c>
      <c r="B2" s="11"/>
      <c r="C2" s="11"/>
      <c r="D2" s="12"/>
      <c r="E2" s="10"/>
      <c r="F2" s="11"/>
      <c r="G2" s="12"/>
      <c r="H2" s="11"/>
      <c r="I2" s="11"/>
      <c r="J2" s="12"/>
      <c r="K2" s="8"/>
    </row>
    <row r="3" ht="17.25" customHeight="1" spans="1:10">
      <c r="A3" s="1"/>
      <c r="B3" s="13"/>
      <c r="C3" s="13"/>
      <c r="D3" s="15"/>
      <c r="E3" s="41"/>
      <c r="F3" s="13"/>
      <c r="G3" s="15"/>
      <c r="H3" s="13"/>
      <c r="I3" s="48" t="s">
        <v>1055</v>
      </c>
      <c r="J3" s="76"/>
    </row>
    <row r="4" ht="17.25" customHeight="1" spans="1:17">
      <c r="A4" s="16" t="s">
        <v>1139</v>
      </c>
      <c r="B4" s="58" t="s">
        <v>1197</v>
      </c>
      <c r="C4" s="59"/>
      <c r="D4" s="60"/>
      <c r="E4" s="70"/>
      <c r="F4" s="59"/>
      <c r="G4" s="71"/>
      <c r="H4" s="17" t="s">
        <v>36</v>
      </c>
      <c r="I4" s="17"/>
      <c r="J4" s="18"/>
      <c r="K4" s="77"/>
      <c r="L4" s="1"/>
      <c r="M4" s="81"/>
      <c r="N4" s="1"/>
      <c r="O4" s="41"/>
      <c r="P4" s="1"/>
      <c r="Q4" s="1"/>
    </row>
    <row r="5" ht="17.25" customHeight="1" spans="1:17">
      <c r="A5" s="16"/>
      <c r="B5" s="61" t="s">
        <v>1503</v>
      </c>
      <c r="C5" s="61" t="s">
        <v>38</v>
      </c>
      <c r="D5" s="20" t="s">
        <v>1606</v>
      </c>
      <c r="E5" s="16" t="s">
        <v>1199</v>
      </c>
      <c r="F5" s="58" t="s">
        <v>1200</v>
      </c>
      <c r="G5" s="71"/>
      <c r="H5" s="17" t="s">
        <v>42</v>
      </c>
      <c r="I5" s="17" t="s">
        <v>43</v>
      </c>
      <c r="J5" s="18"/>
      <c r="K5" s="77"/>
      <c r="L5" s="1"/>
      <c r="M5" s="81"/>
      <c r="N5" s="1"/>
      <c r="O5" s="41"/>
      <c r="P5" s="1"/>
      <c r="Q5" s="1"/>
    </row>
    <row r="6" ht="17.25" customHeight="1" spans="1:17">
      <c r="A6" s="16"/>
      <c r="B6" s="62"/>
      <c r="C6" s="62"/>
      <c r="D6" s="21"/>
      <c r="E6" s="16"/>
      <c r="F6" s="17" t="s">
        <v>44</v>
      </c>
      <c r="G6" s="18" t="s">
        <v>45</v>
      </c>
      <c r="H6" s="17"/>
      <c r="I6" s="17" t="s">
        <v>44</v>
      </c>
      <c r="J6" s="18" t="s">
        <v>45</v>
      </c>
      <c r="K6" s="77"/>
      <c r="L6" s="1"/>
      <c r="M6" s="81"/>
      <c r="O6" s="41"/>
      <c r="P6" s="1"/>
      <c r="Q6" s="1"/>
    </row>
    <row r="7" ht="21.75" hidden="1" customHeight="1" spans="1:14">
      <c r="A7" s="22" t="s">
        <v>1612</v>
      </c>
      <c r="B7" s="29"/>
      <c r="C7" s="29"/>
      <c r="D7" s="63"/>
      <c r="E7" s="72"/>
      <c r="F7" s="72"/>
      <c r="G7" s="69"/>
      <c r="H7" s="65"/>
      <c r="I7" s="65">
        <f t="shared" ref="I7:I23" si="0">H7-C7</f>
        <v>0</v>
      </c>
      <c r="J7" s="69"/>
      <c r="K7" s="8"/>
      <c r="L7" s="8"/>
      <c r="M7" s="7"/>
      <c r="N7" s="4"/>
    </row>
    <row r="8" ht="21.75" customHeight="1" spans="1:14">
      <c r="A8" s="64" t="s">
        <v>1632</v>
      </c>
      <c r="B8" s="65">
        <f t="shared" ref="B8:F8" si="1">B9+B10+B11+B12</f>
        <v>1472975</v>
      </c>
      <c r="C8" s="65">
        <f t="shared" si="1"/>
        <v>1457931</v>
      </c>
      <c r="D8" s="63">
        <f t="shared" ref="D8:D12" si="2">C8/B8</f>
        <v>0.989786656256895</v>
      </c>
      <c r="E8" s="65">
        <f t="shared" si="1"/>
        <v>1400907</v>
      </c>
      <c r="F8" s="65">
        <f t="shared" si="1"/>
        <v>57024</v>
      </c>
      <c r="G8" s="69">
        <f t="shared" ref="G8:G12" si="3">F8/E8</f>
        <v>0.0407050575091708</v>
      </c>
      <c r="H8" s="65">
        <f>H9+H10+H11+H12</f>
        <v>1502185</v>
      </c>
      <c r="I8" s="65">
        <f t="shared" si="0"/>
        <v>44254</v>
      </c>
      <c r="J8" s="69">
        <f t="shared" ref="J8:J12" si="4">I8/C8</f>
        <v>0.0303539742278613</v>
      </c>
      <c r="K8" s="78"/>
      <c r="L8" s="79"/>
      <c r="M8" s="7"/>
      <c r="N8" s="4"/>
    </row>
    <row r="9" ht="21.75" customHeight="1" spans="1:16">
      <c r="A9" s="22" t="s">
        <v>1633</v>
      </c>
      <c r="B9" s="29">
        <v>258271</v>
      </c>
      <c r="C9" s="31">
        <v>247693</v>
      </c>
      <c r="D9" s="63">
        <f t="shared" si="2"/>
        <v>0.95904302070306</v>
      </c>
      <c r="E9" s="73">
        <v>240752</v>
      </c>
      <c r="F9" s="65">
        <v>6941</v>
      </c>
      <c r="G9" s="69">
        <f t="shared" si="3"/>
        <v>0.0288304977736426</v>
      </c>
      <c r="H9" s="31">
        <v>247796</v>
      </c>
      <c r="I9" s="65">
        <f t="shared" si="0"/>
        <v>103</v>
      </c>
      <c r="J9" s="69">
        <f t="shared" si="4"/>
        <v>0.000415837347038471</v>
      </c>
      <c r="K9" s="54"/>
      <c r="L9" s="80"/>
      <c r="M9" s="7"/>
      <c r="N9" s="4"/>
      <c r="P9" s="7"/>
    </row>
    <row r="10" ht="21.75" customHeight="1" spans="1:16">
      <c r="A10" s="22" t="s">
        <v>1634</v>
      </c>
      <c r="B10" s="29">
        <v>204310</v>
      </c>
      <c r="C10" s="29">
        <v>204710</v>
      </c>
      <c r="D10" s="63">
        <f t="shared" si="2"/>
        <v>1.00195780921149</v>
      </c>
      <c r="E10" s="29">
        <v>177050</v>
      </c>
      <c r="F10" s="65">
        <f>C10-E10</f>
        <v>27660</v>
      </c>
      <c r="G10" s="69">
        <f t="shared" si="3"/>
        <v>0.156227054504377</v>
      </c>
      <c r="H10" s="29">
        <v>233255</v>
      </c>
      <c r="I10" s="65">
        <f t="shared" si="0"/>
        <v>28545</v>
      </c>
      <c r="J10" s="69">
        <f t="shared" si="4"/>
        <v>0.139441160666308</v>
      </c>
      <c r="K10" s="54"/>
      <c r="L10" s="8"/>
      <c r="M10" s="7"/>
      <c r="N10" s="4"/>
      <c r="P10" s="7"/>
    </row>
    <row r="11" ht="21.75" customHeight="1" spans="1:16">
      <c r="A11" s="22" t="s">
        <v>1635</v>
      </c>
      <c r="B11" s="29">
        <v>420187</v>
      </c>
      <c r="C11" s="29">
        <v>419613</v>
      </c>
      <c r="D11" s="63">
        <f t="shared" si="2"/>
        <v>0.998633941554594</v>
      </c>
      <c r="E11" s="29">
        <v>390613</v>
      </c>
      <c r="F11" s="65">
        <f>C11-E11</f>
        <v>29000</v>
      </c>
      <c r="G11" s="69">
        <f t="shared" si="3"/>
        <v>0.0742422807228638</v>
      </c>
      <c r="H11" s="29">
        <v>435145</v>
      </c>
      <c r="I11" s="65">
        <f t="shared" si="0"/>
        <v>15532</v>
      </c>
      <c r="J11" s="69">
        <f t="shared" si="4"/>
        <v>0.0370150591139931</v>
      </c>
      <c r="K11" s="54"/>
      <c r="L11" s="80"/>
      <c r="M11" s="7"/>
      <c r="N11" s="4"/>
      <c r="P11" s="7"/>
    </row>
    <row r="12" ht="21.75" customHeight="1" spans="1:16">
      <c r="A12" s="22" t="s">
        <v>1636</v>
      </c>
      <c r="B12" s="34">
        <v>590207</v>
      </c>
      <c r="C12" s="34">
        <v>585915</v>
      </c>
      <c r="D12" s="63">
        <f t="shared" si="2"/>
        <v>0.992727975100261</v>
      </c>
      <c r="E12" s="34">
        <v>592492</v>
      </c>
      <c r="F12" s="23">
        <v>-6577</v>
      </c>
      <c r="G12" s="69">
        <f t="shared" si="3"/>
        <v>-0.0111005718220668</v>
      </c>
      <c r="H12" s="31">
        <v>585989</v>
      </c>
      <c r="I12" s="65">
        <f t="shared" si="0"/>
        <v>74</v>
      </c>
      <c r="J12" s="69">
        <f t="shared" si="4"/>
        <v>0.000126298183183568</v>
      </c>
      <c r="K12" s="54"/>
      <c r="L12" s="8"/>
      <c r="M12" s="7"/>
      <c r="N12" s="4"/>
      <c r="P12" s="7"/>
    </row>
    <row r="13" ht="21.75" hidden="1" customHeight="1" spans="1:16">
      <c r="A13" s="22" t="s">
        <v>1637</v>
      </c>
      <c r="B13" s="29"/>
      <c r="C13" s="29"/>
      <c r="D13" s="63"/>
      <c r="E13" s="29"/>
      <c r="F13" s="65"/>
      <c r="G13" s="69"/>
      <c r="H13" s="29"/>
      <c r="I13" s="65">
        <f t="shared" si="0"/>
        <v>0</v>
      </c>
      <c r="J13" s="69"/>
      <c r="K13" s="54"/>
      <c r="L13" s="8"/>
      <c r="M13" s="7"/>
      <c r="N13" s="4"/>
      <c r="P13" s="7"/>
    </row>
    <row r="14" s="1" customFormat="1" ht="21.75" customHeight="1" spans="1:16">
      <c r="A14" s="64" t="s">
        <v>1638</v>
      </c>
      <c r="B14" s="65" t="e">
        <f>#REF!-B8</f>
        <v>#REF!</v>
      </c>
      <c r="C14" s="65" t="e">
        <f>#REF!-C8</f>
        <v>#REF!</v>
      </c>
      <c r="D14" s="63" t="e">
        <f t="shared" ref="D14:D23" si="5">C14/B14</f>
        <v>#REF!</v>
      </c>
      <c r="E14" s="65" t="e">
        <f>#REF!-E8</f>
        <v>#REF!</v>
      </c>
      <c r="F14" s="65" t="e">
        <f>#REF!-F8</f>
        <v>#REF!</v>
      </c>
      <c r="G14" s="69" t="e">
        <f t="shared" ref="G14:G17" si="6">F14/E14</f>
        <v>#REF!</v>
      </c>
      <c r="H14" s="65" t="e">
        <f>#REF!-H8</f>
        <v>#REF!</v>
      </c>
      <c r="I14" s="65" t="e">
        <f t="shared" si="0"/>
        <v>#REF!</v>
      </c>
      <c r="J14" s="69" t="e">
        <f t="shared" ref="J14:J23" si="7">I14/C14</f>
        <v>#REF!</v>
      </c>
      <c r="K14" s="78"/>
      <c r="L14" s="8"/>
      <c r="M14" s="7"/>
      <c r="N14" s="4"/>
      <c r="O14" s="7"/>
      <c r="P14" s="7"/>
    </row>
    <row r="15" s="1" customFormat="1" ht="21.75" customHeight="1" spans="1:16">
      <c r="A15" s="64" t="s">
        <v>1639</v>
      </c>
      <c r="B15" s="65">
        <f t="shared" ref="B15:F15" si="8">B17+B19+B21+B23</f>
        <v>1209656</v>
      </c>
      <c r="C15" s="65">
        <f t="shared" si="8"/>
        <v>1215155</v>
      </c>
      <c r="D15" s="63">
        <f t="shared" si="5"/>
        <v>1.0045459204931</v>
      </c>
      <c r="E15" s="65">
        <f t="shared" si="8"/>
        <v>1096820</v>
      </c>
      <c r="F15" s="65">
        <f t="shared" si="8"/>
        <v>118335</v>
      </c>
      <c r="G15" s="69">
        <f t="shared" si="6"/>
        <v>0.107889170511114</v>
      </c>
      <c r="H15" s="65">
        <f>H17+H19+H21+H23</f>
        <v>1342305</v>
      </c>
      <c r="I15" s="65">
        <f t="shared" si="0"/>
        <v>127150</v>
      </c>
      <c r="J15" s="69">
        <f t="shared" si="7"/>
        <v>0.10463685702647</v>
      </c>
      <c r="K15" s="54"/>
      <c r="L15" s="8"/>
      <c r="M15" s="7"/>
      <c r="N15" s="4"/>
      <c r="O15" s="7"/>
      <c r="P15" s="7"/>
    </row>
    <row r="16" s="1" customFormat="1" ht="21" customHeight="1" spans="1:16">
      <c r="A16" s="22" t="s">
        <v>1640</v>
      </c>
      <c r="B16" s="29">
        <v>12582</v>
      </c>
      <c r="C16" s="29">
        <v>14505</v>
      </c>
      <c r="D16" s="63">
        <f t="shared" si="5"/>
        <v>1.15283738674297</v>
      </c>
      <c r="E16" s="73">
        <v>30295</v>
      </c>
      <c r="F16" s="74">
        <v>-15790</v>
      </c>
      <c r="G16" s="69">
        <f t="shared" si="6"/>
        <v>-0.52120812015184</v>
      </c>
      <c r="H16" s="31">
        <v>7099</v>
      </c>
      <c r="I16" s="65">
        <f t="shared" si="0"/>
        <v>-7406</v>
      </c>
      <c r="J16" s="69">
        <f t="shared" si="7"/>
        <v>-0.510582557738711</v>
      </c>
      <c r="K16" s="54"/>
      <c r="L16" s="8"/>
      <c r="M16" s="7"/>
      <c r="N16" s="4"/>
      <c r="O16" s="7"/>
      <c r="P16" s="7"/>
    </row>
    <row r="17" s="1" customFormat="1" ht="21" customHeight="1" spans="1:16">
      <c r="A17" s="37" t="s">
        <v>1641</v>
      </c>
      <c r="B17" s="29">
        <v>381582</v>
      </c>
      <c r="C17" s="31">
        <v>383506</v>
      </c>
      <c r="D17" s="63">
        <f t="shared" si="5"/>
        <v>1.00504216655922</v>
      </c>
      <c r="E17" s="73">
        <v>369000</v>
      </c>
      <c r="F17" s="74">
        <v>14506</v>
      </c>
      <c r="G17" s="69">
        <f t="shared" si="6"/>
        <v>0.0393116531165312</v>
      </c>
      <c r="H17" s="31">
        <v>390605</v>
      </c>
      <c r="I17" s="65">
        <f t="shared" si="0"/>
        <v>7099</v>
      </c>
      <c r="J17" s="69">
        <f t="shared" si="7"/>
        <v>0.0185107925299735</v>
      </c>
      <c r="K17" s="54"/>
      <c r="L17" s="8"/>
      <c r="M17" s="7"/>
      <c r="N17" s="4"/>
      <c r="O17" s="7"/>
      <c r="P17" s="7"/>
    </row>
    <row r="18" s="1" customFormat="1" ht="21" customHeight="1" spans="1:16">
      <c r="A18" s="38" t="s">
        <v>1642</v>
      </c>
      <c r="B18" s="29" t="e">
        <f>#REF!-B10</f>
        <v>#REF!</v>
      </c>
      <c r="C18" s="29" t="e">
        <f>#REF!-C10</f>
        <v>#REF!</v>
      </c>
      <c r="D18" s="63" t="e">
        <f t="shared" si="5"/>
        <v>#REF!</v>
      </c>
      <c r="E18" s="73" t="e">
        <f>#REF!-E10</f>
        <v>#REF!</v>
      </c>
      <c r="F18" s="74" t="e">
        <f t="shared" ref="F18:F21" si="9">C18-E18</f>
        <v>#REF!</v>
      </c>
      <c r="G18" s="69" t="e">
        <f>-F18/E18</f>
        <v>#REF!</v>
      </c>
      <c r="H18" s="29" t="e">
        <f>#REF!-H10</f>
        <v>#REF!</v>
      </c>
      <c r="I18" s="65" t="e">
        <f t="shared" si="0"/>
        <v>#REF!</v>
      </c>
      <c r="J18" s="69" t="e">
        <f t="shared" si="7"/>
        <v>#REF!</v>
      </c>
      <c r="K18" s="54"/>
      <c r="L18" s="8"/>
      <c r="M18" s="7"/>
      <c r="N18" s="4"/>
      <c r="O18" s="7"/>
      <c r="P18" s="7"/>
    </row>
    <row r="19" s="1" customFormat="1" ht="21" customHeight="1" spans="1:16">
      <c r="A19" s="38" t="s">
        <v>1643</v>
      </c>
      <c r="B19" s="29">
        <v>320126</v>
      </c>
      <c r="C19" s="66">
        <v>319454</v>
      </c>
      <c r="D19" s="63">
        <f t="shared" si="5"/>
        <v>0.997900826549546</v>
      </c>
      <c r="E19" s="73">
        <v>234652</v>
      </c>
      <c r="F19" s="74">
        <f t="shared" si="9"/>
        <v>84802</v>
      </c>
      <c r="G19" s="69">
        <f t="shared" ref="G19:G23" si="10">F19/E19</f>
        <v>0.361394746262551</v>
      </c>
      <c r="H19" s="66">
        <v>402048</v>
      </c>
      <c r="I19" s="65">
        <f t="shared" si="0"/>
        <v>82594</v>
      </c>
      <c r="J19" s="69">
        <f t="shared" si="7"/>
        <v>0.25854739649527</v>
      </c>
      <c r="K19" s="54"/>
      <c r="L19" s="8"/>
      <c r="M19" s="7"/>
      <c r="N19" s="4"/>
      <c r="O19" s="7"/>
      <c r="P19" s="7"/>
    </row>
    <row r="20" s="1" customFormat="1" ht="21" customHeight="1" spans="1:16">
      <c r="A20" s="38" t="s">
        <v>1644</v>
      </c>
      <c r="B20" s="29" t="e">
        <f>#REF!-B11</f>
        <v>#REF!</v>
      </c>
      <c r="C20" s="29" t="e">
        <f>#REF!-C11</f>
        <v>#REF!</v>
      </c>
      <c r="D20" s="63" t="e">
        <f t="shared" si="5"/>
        <v>#REF!</v>
      </c>
      <c r="E20" s="29" t="e">
        <f>#REF!-E11</f>
        <v>#REF!</v>
      </c>
      <c r="F20" s="74" t="e">
        <f t="shared" si="9"/>
        <v>#REF!</v>
      </c>
      <c r="G20" s="69" t="e">
        <f>-F20/E20</f>
        <v>#REF!</v>
      </c>
      <c r="H20" s="29" t="e">
        <f>#REF!-H11</f>
        <v>#REF!</v>
      </c>
      <c r="I20" s="65" t="e">
        <f t="shared" si="0"/>
        <v>#REF!</v>
      </c>
      <c r="J20" s="69" t="e">
        <f t="shared" si="7"/>
        <v>#REF!</v>
      </c>
      <c r="K20" s="56"/>
      <c r="L20" s="8"/>
      <c r="M20" s="7"/>
      <c r="N20" s="4"/>
      <c r="O20" s="7"/>
      <c r="P20" s="7"/>
    </row>
    <row r="21" s="1" customFormat="1" ht="21" customHeight="1" spans="1:16">
      <c r="A21" s="38" t="s">
        <v>1645</v>
      </c>
      <c r="B21" s="29">
        <v>36321</v>
      </c>
      <c r="C21" s="66">
        <v>37553</v>
      </c>
      <c r="D21" s="63">
        <f t="shared" si="5"/>
        <v>1.03391977093142</v>
      </c>
      <c r="E21" s="65">
        <v>28044</v>
      </c>
      <c r="F21" s="74">
        <f t="shared" si="9"/>
        <v>9509</v>
      </c>
      <c r="G21" s="69">
        <f t="shared" si="10"/>
        <v>0.33907431179575</v>
      </c>
      <c r="H21" s="29">
        <v>42663</v>
      </c>
      <c r="I21" s="65">
        <f t="shared" si="0"/>
        <v>5110</v>
      </c>
      <c r="J21" s="69">
        <f t="shared" si="7"/>
        <v>0.136074348254467</v>
      </c>
      <c r="K21" s="54"/>
      <c r="L21" s="8"/>
      <c r="M21" s="7"/>
      <c r="N21" s="4"/>
      <c r="O21" s="7"/>
      <c r="P21" s="7"/>
    </row>
    <row r="22" ht="21" customHeight="1" spans="1:16">
      <c r="A22" s="22" t="s">
        <v>1646</v>
      </c>
      <c r="B22" s="23" t="e">
        <f>#REF!-B12</f>
        <v>#REF!</v>
      </c>
      <c r="C22" s="23">
        <v>9518</v>
      </c>
      <c r="D22" s="63" t="e">
        <f t="shared" si="5"/>
        <v>#REF!</v>
      </c>
      <c r="E22" s="23">
        <v>21513</v>
      </c>
      <c r="F22" s="23">
        <v>-11995</v>
      </c>
      <c r="G22" s="69">
        <f t="shared" si="10"/>
        <v>-0.557569841491191</v>
      </c>
      <c r="H22" s="23">
        <v>32347</v>
      </c>
      <c r="I22" s="65">
        <f t="shared" si="0"/>
        <v>22829</v>
      </c>
      <c r="J22" s="69">
        <f t="shared" si="7"/>
        <v>2.39850808993486</v>
      </c>
      <c r="K22" s="54"/>
      <c r="L22" s="8"/>
      <c r="M22" s="7"/>
      <c r="N22" s="4"/>
      <c r="P22" s="7"/>
    </row>
    <row r="23" ht="21" customHeight="1" spans="1:16">
      <c r="A23" s="22" t="s">
        <v>1647</v>
      </c>
      <c r="B23" s="29">
        <v>471627</v>
      </c>
      <c r="C23" s="31">
        <v>474642</v>
      </c>
      <c r="D23" s="63">
        <f t="shared" si="5"/>
        <v>1.00639276377307</v>
      </c>
      <c r="E23" s="34">
        <v>465124</v>
      </c>
      <c r="F23" s="23">
        <v>9518</v>
      </c>
      <c r="G23" s="69">
        <f t="shared" si="10"/>
        <v>0.0204633603082189</v>
      </c>
      <c r="H23" s="31">
        <v>506989</v>
      </c>
      <c r="I23" s="65">
        <f t="shared" si="0"/>
        <v>32347</v>
      </c>
      <c r="J23" s="69">
        <f t="shared" si="7"/>
        <v>0.0681503111819013</v>
      </c>
      <c r="K23" s="54"/>
      <c r="L23" s="8"/>
      <c r="M23" s="7"/>
      <c r="N23" s="4"/>
      <c r="P23" s="7"/>
    </row>
    <row r="24" ht="21" hidden="1" customHeight="1" spans="1:12">
      <c r="A24" s="22" t="s">
        <v>1613</v>
      </c>
      <c r="B24" s="67"/>
      <c r="C24" s="68"/>
      <c r="D24" s="69"/>
      <c r="E24" s="75"/>
      <c r="F24" s="67"/>
      <c r="G24" s="69"/>
      <c r="H24" s="67"/>
      <c r="I24" s="67"/>
      <c r="J24" s="69"/>
      <c r="K24" s="54"/>
      <c r="L24" s="54"/>
    </row>
    <row r="26" spans="1:5">
      <c r="A26" s="3">
        <v>0</v>
      </c>
      <c r="E26" s="4"/>
    </row>
    <row r="28" spans="5:5">
      <c r="E28" s="4"/>
    </row>
    <row r="37" spans="12:12">
      <c r="L37" s="4"/>
    </row>
  </sheetData>
  <mergeCells count="14">
    <mergeCell ref="A2:J2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  <mergeCell ref="K4:K6"/>
    <mergeCell ref="M4:M6"/>
  </mergeCells>
  <printOptions horizontalCentered="1"/>
  <pageMargins left="0.22" right="0.17" top="0.8" bottom="0.74" header="0.51" footer="0.51"/>
  <pageSetup paperSize="9" scale="75" fitToHeight="0" orientation="landscape" horizontalDpi="600" verticalDpi="600"/>
  <headerFooter alignWithMargins="0">
    <oddFooter>&amp;C第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showZeros="0" view="pageBreakPreview" zoomScale="90" zoomScaleNormal="100" zoomScaleSheetLayoutView="90" workbookViewId="0">
      <pane xSplit="1" ySplit="6" topLeftCell="B7" activePane="bottomRight" state="frozen"/>
      <selection/>
      <selection pane="topRight"/>
      <selection pane="bottomLeft"/>
      <selection pane="bottomRight" activeCell="G19" sqref="G19"/>
    </sheetView>
  </sheetViews>
  <sheetFormatPr defaultColWidth="9" defaultRowHeight="12.75"/>
  <cols>
    <col min="1" max="1" width="46.125" style="3" customWidth="1"/>
    <col min="2" max="2" width="13.75" style="4" customWidth="1"/>
    <col min="3" max="3" width="12.875" style="5" customWidth="1"/>
    <col min="4" max="4" width="11.75" style="6" customWidth="1"/>
    <col min="5" max="5" width="14.5" style="7" customWidth="1"/>
    <col min="6" max="6" width="13" style="4" customWidth="1"/>
    <col min="7" max="7" width="13.25" style="6" customWidth="1"/>
    <col min="8" max="8" width="10.625" style="5" customWidth="1"/>
    <col min="9" max="9" width="13.125" style="4" customWidth="1"/>
    <col min="10" max="10" width="9.875" style="7" customWidth="1"/>
    <col min="11" max="11" width="11.375" style="8" customWidth="1"/>
    <col min="12" max="16384" width="9" style="3"/>
  </cols>
  <sheetData>
    <row r="1" ht="17.25" customHeight="1" spans="1:1">
      <c r="A1" s="9"/>
    </row>
    <row r="2" ht="35.25" customHeight="1" spans="1:10">
      <c r="A2" s="10" t="s">
        <v>1648</v>
      </c>
      <c r="B2" s="11"/>
      <c r="C2" s="11"/>
      <c r="D2" s="12"/>
      <c r="E2" s="10"/>
      <c r="F2" s="11"/>
      <c r="G2" s="12"/>
      <c r="H2" s="11"/>
      <c r="I2" s="11"/>
      <c r="J2" s="10"/>
    </row>
    <row r="3" s="1" customFormat="1" ht="22.5" customHeight="1" spans="2:11">
      <c r="B3" s="13"/>
      <c r="C3" s="14"/>
      <c r="D3" s="15"/>
      <c r="E3" s="41"/>
      <c r="F3" s="13"/>
      <c r="G3" s="15"/>
      <c r="H3" s="14"/>
      <c r="I3" s="48" t="s">
        <v>1055</v>
      </c>
      <c r="J3" s="49"/>
      <c r="K3" s="50"/>
    </row>
    <row r="4" s="1" customFormat="1" ht="17.25" customHeight="1" spans="1:11">
      <c r="A4" s="16" t="s">
        <v>1139</v>
      </c>
      <c r="B4" s="17" t="s">
        <v>1197</v>
      </c>
      <c r="C4" s="17"/>
      <c r="D4" s="18"/>
      <c r="E4" s="16"/>
      <c r="F4" s="17"/>
      <c r="G4" s="18"/>
      <c r="H4" s="17" t="s">
        <v>36</v>
      </c>
      <c r="I4" s="17"/>
      <c r="J4" s="16"/>
      <c r="K4" s="51"/>
    </row>
    <row r="5" s="1" customFormat="1" ht="17.25" customHeight="1" spans="1:11">
      <c r="A5" s="16"/>
      <c r="B5" s="17" t="s">
        <v>1503</v>
      </c>
      <c r="C5" s="19" t="s">
        <v>38</v>
      </c>
      <c r="D5" s="20" t="s">
        <v>1606</v>
      </c>
      <c r="E5" s="42" t="s">
        <v>1199</v>
      </c>
      <c r="F5" s="17" t="s">
        <v>1200</v>
      </c>
      <c r="G5" s="18"/>
      <c r="H5" s="19" t="s">
        <v>42</v>
      </c>
      <c r="I5" s="17" t="s">
        <v>43</v>
      </c>
      <c r="J5" s="16"/>
      <c r="K5" s="51"/>
    </row>
    <row r="6" s="1" customFormat="1" ht="17.25" customHeight="1" spans="1:11">
      <c r="A6" s="16"/>
      <c r="B6" s="17"/>
      <c r="C6" s="19"/>
      <c r="D6" s="21"/>
      <c r="E6" s="43"/>
      <c r="F6" s="17" t="s">
        <v>44</v>
      </c>
      <c r="G6" s="18" t="s">
        <v>45</v>
      </c>
      <c r="H6" s="19"/>
      <c r="I6" s="17" t="s">
        <v>44</v>
      </c>
      <c r="J6" s="52" t="s">
        <v>45</v>
      </c>
      <c r="K6" s="51"/>
    </row>
    <row r="7" s="1" customFormat="1" ht="21" hidden="1" customHeight="1" spans="1:11">
      <c r="A7" s="22" t="s">
        <v>1612</v>
      </c>
      <c r="B7" s="23"/>
      <c r="C7" s="24"/>
      <c r="D7" s="25" t="e">
        <f t="shared" ref="D7:D19" si="0">C7/B7</f>
        <v>#DIV/0!</v>
      </c>
      <c r="E7" s="44"/>
      <c r="F7" s="23">
        <f>C7-E7</f>
        <v>0</v>
      </c>
      <c r="G7" s="25" t="e">
        <f t="shared" ref="G7:G19" si="1">F7/E7</f>
        <v>#DIV/0!</v>
      </c>
      <c r="H7" s="24"/>
      <c r="I7" s="23">
        <f>H7-C7</f>
        <v>0</v>
      </c>
      <c r="J7" s="25" t="e">
        <f t="shared" ref="J7:J28" si="2">I7/C7</f>
        <v>#DIV/0!</v>
      </c>
      <c r="K7" s="53"/>
    </row>
    <row r="8" s="1" customFormat="1" ht="21" hidden="1" customHeight="1" spans="1:11">
      <c r="A8" s="26" t="s">
        <v>1617</v>
      </c>
      <c r="B8" s="23"/>
      <c r="C8" s="24"/>
      <c r="D8" s="25" t="e">
        <f t="shared" si="0"/>
        <v>#DIV/0!</v>
      </c>
      <c r="E8" s="45"/>
      <c r="F8" s="23">
        <f>C8-E8</f>
        <v>0</v>
      </c>
      <c r="G8" s="25" t="e">
        <f t="shared" si="1"/>
        <v>#DIV/0!</v>
      </c>
      <c r="H8" s="24"/>
      <c r="I8" s="23">
        <f>H8-C8</f>
        <v>0</v>
      </c>
      <c r="J8" s="25" t="e">
        <f t="shared" si="2"/>
        <v>#DIV/0!</v>
      </c>
      <c r="K8" s="53"/>
    </row>
    <row r="9" s="1" customFormat="1" ht="21" hidden="1" customHeight="1" spans="1:11">
      <c r="A9" s="27" t="s">
        <v>1628</v>
      </c>
      <c r="B9" s="23"/>
      <c r="C9" s="24"/>
      <c r="D9" s="25" t="e">
        <f t="shared" si="0"/>
        <v>#DIV/0!</v>
      </c>
      <c r="E9" s="45"/>
      <c r="F9" s="23">
        <f>C9-E9</f>
        <v>0</v>
      </c>
      <c r="G9" s="25" t="e">
        <f t="shared" si="1"/>
        <v>#DIV/0!</v>
      </c>
      <c r="H9" s="24"/>
      <c r="I9" s="23">
        <f>H9-C9</f>
        <v>0</v>
      </c>
      <c r="J9" s="25" t="e">
        <f t="shared" si="2"/>
        <v>#DIV/0!</v>
      </c>
      <c r="K9" s="54"/>
    </row>
    <row r="10" s="1" customFormat="1" ht="21" hidden="1" customHeight="1" spans="1:11">
      <c r="A10" s="27" t="s">
        <v>69</v>
      </c>
      <c r="B10" s="23"/>
      <c r="C10" s="24"/>
      <c r="D10" s="25" t="e">
        <f t="shared" si="0"/>
        <v>#DIV/0!</v>
      </c>
      <c r="E10" s="45"/>
      <c r="F10" s="23">
        <f>C10-E10</f>
        <v>0</v>
      </c>
      <c r="G10" s="25" t="e">
        <f t="shared" si="1"/>
        <v>#DIV/0!</v>
      </c>
      <c r="H10" s="24"/>
      <c r="I10" s="23">
        <f>H10-C10</f>
        <v>0</v>
      </c>
      <c r="J10" s="25" t="e">
        <f t="shared" si="2"/>
        <v>#DIV/0!</v>
      </c>
      <c r="K10" s="54"/>
    </row>
    <row r="11" s="2" customFormat="1" ht="21" customHeight="1" spans="1:11">
      <c r="A11" s="28" t="s">
        <v>1649</v>
      </c>
      <c r="B11" s="23">
        <f t="shared" ref="B11:F11" si="3">B12+B22+B26+B16</f>
        <v>919072</v>
      </c>
      <c r="C11" s="23">
        <f t="shared" si="3"/>
        <v>904205.2</v>
      </c>
      <c r="D11" s="25">
        <f t="shared" si="0"/>
        <v>0.983824118241008</v>
      </c>
      <c r="E11" s="23">
        <f t="shared" si="3"/>
        <v>896442.800965</v>
      </c>
      <c r="F11" s="23">
        <f t="shared" si="3"/>
        <v>7762.39903499997</v>
      </c>
      <c r="G11" s="25">
        <f t="shared" si="1"/>
        <v>0.00865911246835149</v>
      </c>
      <c r="H11" s="23">
        <f>H12+H22+H26+H16</f>
        <v>905139.5</v>
      </c>
      <c r="I11" s="23">
        <f>I12+I22+I26+I16</f>
        <v>934.3</v>
      </c>
      <c r="J11" s="25">
        <f t="shared" si="2"/>
        <v>0.00103328315298342</v>
      </c>
      <c r="K11" s="53"/>
    </row>
    <row r="12" s="1" customFormat="1" ht="21" customHeight="1" spans="1:11">
      <c r="A12" s="26" t="s">
        <v>1650</v>
      </c>
      <c r="B12" s="29">
        <f>SUM(B13:B15)</f>
        <v>258271</v>
      </c>
      <c r="C12" s="29">
        <f t="shared" ref="C12:H12" si="4">SUM(C13:C15)</f>
        <v>247693</v>
      </c>
      <c r="D12" s="25">
        <f t="shared" si="0"/>
        <v>0.95904302070306</v>
      </c>
      <c r="E12" s="34">
        <f t="shared" si="4"/>
        <v>240751</v>
      </c>
      <c r="F12" s="23">
        <f t="shared" ref="F12:F42" si="5">C12-E12</f>
        <v>6942</v>
      </c>
      <c r="G12" s="25">
        <f t="shared" si="1"/>
        <v>0.0288347711951352</v>
      </c>
      <c r="H12" s="31">
        <f t="shared" si="4"/>
        <v>247796</v>
      </c>
      <c r="I12" s="23">
        <f t="shared" ref="I12:I42" si="6">H12-C12</f>
        <v>103</v>
      </c>
      <c r="J12" s="25">
        <f t="shared" si="2"/>
        <v>0.000415837347038471</v>
      </c>
      <c r="K12" s="53"/>
    </row>
    <row r="13" s="1" customFormat="1" ht="21" customHeight="1" spans="1:11">
      <c r="A13" s="30" t="s">
        <v>1651</v>
      </c>
      <c r="B13" s="29">
        <v>248321</v>
      </c>
      <c r="C13" s="31">
        <v>238550</v>
      </c>
      <c r="D13" s="25">
        <f t="shared" si="0"/>
        <v>0.960651737066136</v>
      </c>
      <c r="E13" s="34">
        <v>234099</v>
      </c>
      <c r="F13" s="23">
        <f t="shared" si="5"/>
        <v>4451</v>
      </c>
      <c r="G13" s="25">
        <f t="shared" si="1"/>
        <v>0.0190133234229963</v>
      </c>
      <c r="H13" s="31">
        <v>238550</v>
      </c>
      <c r="I13" s="23">
        <f t="shared" si="6"/>
        <v>0</v>
      </c>
      <c r="J13" s="25">
        <f t="shared" si="2"/>
        <v>0</v>
      </c>
      <c r="K13" s="53"/>
    </row>
    <row r="14" s="1" customFormat="1" ht="21" customHeight="1" spans="1:11">
      <c r="A14" s="30" t="s">
        <v>1652</v>
      </c>
      <c r="B14" s="29">
        <v>1950</v>
      </c>
      <c r="C14" s="31">
        <v>1143</v>
      </c>
      <c r="D14" s="25">
        <f t="shared" si="0"/>
        <v>0.586153846153846</v>
      </c>
      <c r="E14" s="34">
        <v>1563</v>
      </c>
      <c r="F14" s="23">
        <f t="shared" si="5"/>
        <v>-420</v>
      </c>
      <c r="G14" s="25">
        <f t="shared" si="1"/>
        <v>-0.268714011516315</v>
      </c>
      <c r="H14" s="31">
        <v>1246</v>
      </c>
      <c r="I14" s="23">
        <f t="shared" si="6"/>
        <v>103</v>
      </c>
      <c r="J14" s="25">
        <f t="shared" si="2"/>
        <v>0.0901137357830271</v>
      </c>
      <c r="K14" s="53"/>
    </row>
    <row r="15" s="1" customFormat="1" ht="21" customHeight="1" spans="1:11">
      <c r="A15" s="32" t="s">
        <v>1653</v>
      </c>
      <c r="B15" s="29">
        <v>8000</v>
      </c>
      <c r="C15" s="31">
        <v>8000</v>
      </c>
      <c r="D15" s="25">
        <f t="shared" si="0"/>
        <v>1</v>
      </c>
      <c r="E15" s="34">
        <v>5089</v>
      </c>
      <c r="F15" s="23">
        <f t="shared" si="5"/>
        <v>2911</v>
      </c>
      <c r="G15" s="25">
        <f t="shared" si="1"/>
        <v>0.572018078207899</v>
      </c>
      <c r="H15" s="31">
        <v>8000</v>
      </c>
      <c r="I15" s="23">
        <f t="shared" si="6"/>
        <v>0</v>
      </c>
      <c r="J15" s="25">
        <f t="shared" si="2"/>
        <v>0</v>
      </c>
      <c r="K15" s="53"/>
    </row>
    <row r="16" s="1" customFormat="1" ht="21" customHeight="1" spans="1:11">
      <c r="A16" s="26" t="s">
        <v>1634</v>
      </c>
      <c r="B16" s="29">
        <f>SUM(B17:B21)</f>
        <v>2712</v>
      </c>
      <c r="C16" s="29">
        <f t="shared" ref="C16:H16" si="7">SUM(C17:C21)</f>
        <v>2757.2</v>
      </c>
      <c r="D16" s="25">
        <f t="shared" si="0"/>
        <v>1.01666666666667</v>
      </c>
      <c r="E16" s="29">
        <f t="shared" si="7"/>
        <v>2326</v>
      </c>
      <c r="F16" s="23">
        <f t="shared" si="5"/>
        <v>431.2</v>
      </c>
      <c r="G16" s="25">
        <f t="shared" si="1"/>
        <v>0.185382631126397</v>
      </c>
      <c r="H16" s="29">
        <f t="shared" si="7"/>
        <v>3276.5</v>
      </c>
      <c r="I16" s="23">
        <f t="shared" si="6"/>
        <v>519.3</v>
      </c>
      <c r="J16" s="25">
        <f t="shared" si="2"/>
        <v>0.188343246772088</v>
      </c>
      <c r="K16" s="54"/>
    </row>
    <row r="17" s="1" customFormat="1" ht="21" customHeight="1" spans="1:11">
      <c r="A17" s="26" t="s">
        <v>1654</v>
      </c>
      <c r="B17" s="29">
        <v>2466</v>
      </c>
      <c r="C17" s="31">
        <v>2502</v>
      </c>
      <c r="D17" s="25">
        <f t="shared" si="0"/>
        <v>1.01459854014599</v>
      </c>
      <c r="E17" s="34">
        <v>2138</v>
      </c>
      <c r="F17" s="23">
        <f t="shared" si="5"/>
        <v>364</v>
      </c>
      <c r="G17" s="25">
        <f t="shared" si="1"/>
        <v>0.170252572497661</v>
      </c>
      <c r="H17" s="31">
        <v>3000</v>
      </c>
      <c r="I17" s="23">
        <f t="shared" si="6"/>
        <v>498</v>
      </c>
      <c r="J17" s="25">
        <f t="shared" si="2"/>
        <v>0.199040767386091</v>
      </c>
      <c r="K17" s="53"/>
    </row>
    <row r="18" s="1" customFormat="1" ht="21" customHeight="1" spans="1:11">
      <c r="A18" s="26" t="s">
        <v>1655</v>
      </c>
      <c r="B18" s="29">
        <v>220</v>
      </c>
      <c r="C18" s="31">
        <v>230</v>
      </c>
      <c r="D18" s="25">
        <f t="shared" si="0"/>
        <v>1.04545454545455</v>
      </c>
      <c r="E18" s="34">
        <v>163</v>
      </c>
      <c r="F18" s="23">
        <f t="shared" si="5"/>
        <v>67</v>
      </c>
      <c r="G18" s="25">
        <f t="shared" si="1"/>
        <v>0.411042944785276</v>
      </c>
      <c r="H18" s="31">
        <v>250</v>
      </c>
      <c r="I18" s="23">
        <f t="shared" si="6"/>
        <v>20</v>
      </c>
      <c r="J18" s="25">
        <f t="shared" si="2"/>
        <v>0.0869565217391304</v>
      </c>
      <c r="K18" s="53"/>
    </row>
    <row r="19" s="1" customFormat="1" ht="21" customHeight="1" spans="1:11">
      <c r="A19" s="26" t="s">
        <v>1656</v>
      </c>
      <c r="B19" s="29">
        <v>25</v>
      </c>
      <c r="C19" s="31">
        <v>24</v>
      </c>
      <c r="D19" s="25">
        <f t="shared" si="0"/>
        <v>0.96</v>
      </c>
      <c r="E19" s="34">
        <v>24</v>
      </c>
      <c r="F19" s="23">
        <f t="shared" si="5"/>
        <v>0</v>
      </c>
      <c r="G19" s="25">
        <f t="shared" si="1"/>
        <v>0</v>
      </c>
      <c r="H19" s="31">
        <v>25.2</v>
      </c>
      <c r="I19" s="23">
        <f t="shared" si="6"/>
        <v>1.2</v>
      </c>
      <c r="J19" s="25">
        <f t="shared" si="2"/>
        <v>0.05</v>
      </c>
      <c r="K19" s="53"/>
    </row>
    <row r="20" s="1" customFormat="1" ht="21" customHeight="1" spans="1:11">
      <c r="A20" s="26" t="s">
        <v>1657</v>
      </c>
      <c r="B20" s="29"/>
      <c r="C20" s="31">
        <v>0.2</v>
      </c>
      <c r="D20" s="25"/>
      <c r="E20" s="34"/>
      <c r="F20" s="23">
        <f t="shared" si="5"/>
        <v>0.2</v>
      </c>
      <c r="G20" s="25"/>
      <c r="H20" s="31">
        <v>0.3</v>
      </c>
      <c r="I20" s="23">
        <f t="shared" si="6"/>
        <v>0.1</v>
      </c>
      <c r="J20" s="25">
        <f t="shared" si="2"/>
        <v>0.5</v>
      </c>
      <c r="K20" s="53"/>
    </row>
    <row r="21" s="1" customFormat="1" ht="21" customHeight="1" spans="1:11">
      <c r="A21" s="26" t="s">
        <v>1658</v>
      </c>
      <c r="B21" s="29">
        <v>1</v>
      </c>
      <c r="C21" s="31">
        <v>1</v>
      </c>
      <c r="D21" s="25">
        <f t="shared" ref="D21:D28" si="8">C21/B21</f>
        <v>1</v>
      </c>
      <c r="E21" s="34">
        <v>1</v>
      </c>
      <c r="F21" s="23">
        <f t="shared" si="5"/>
        <v>0</v>
      </c>
      <c r="G21" s="25">
        <f t="shared" ref="G21:G42" si="9">F21/E21</f>
        <v>0</v>
      </c>
      <c r="H21" s="31">
        <v>1</v>
      </c>
      <c r="I21" s="23">
        <f t="shared" si="6"/>
        <v>0</v>
      </c>
      <c r="J21" s="25">
        <f t="shared" si="2"/>
        <v>0</v>
      </c>
      <c r="K21" s="53"/>
    </row>
    <row r="22" s="1" customFormat="1" ht="21" customHeight="1" spans="1:11">
      <c r="A22" s="22" t="s">
        <v>1635</v>
      </c>
      <c r="B22" s="29">
        <f>SUM(B23:B25)</f>
        <v>67882</v>
      </c>
      <c r="C22" s="29">
        <f t="shared" ref="C22:H22" si="10">SUM(C23:C25)</f>
        <v>67840</v>
      </c>
      <c r="D22" s="25">
        <f t="shared" si="8"/>
        <v>0.999381279278748</v>
      </c>
      <c r="E22" s="34">
        <f t="shared" si="10"/>
        <v>60874.03</v>
      </c>
      <c r="F22" s="23">
        <f t="shared" si="5"/>
        <v>6965.97</v>
      </c>
      <c r="G22" s="25">
        <f t="shared" si="9"/>
        <v>0.114432542087324</v>
      </c>
      <c r="H22" s="31">
        <f t="shared" si="10"/>
        <v>68078</v>
      </c>
      <c r="I22" s="23">
        <f t="shared" si="6"/>
        <v>238</v>
      </c>
      <c r="J22" s="25">
        <f t="shared" si="2"/>
        <v>0.00350825471698113</v>
      </c>
      <c r="K22" s="53"/>
    </row>
    <row r="23" s="1" customFormat="1" ht="21" customHeight="1" spans="1:11">
      <c r="A23" s="30" t="s">
        <v>1659</v>
      </c>
      <c r="B23" s="29">
        <v>64850</v>
      </c>
      <c r="C23" s="33">
        <v>64801</v>
      </c>
      <c r="D23" s="25">
        <f t="shared" si="8"/>
        <v>0.999244410177332</v>
      </c>
      <c r="E23" s="34">
        <v>60320.79</v>
      </c>
      <c r="F23" s="23">
        <f t="shared" si="5"/>
        <v>4480.21</v>
      </c>
      <c r="G23" s="25">
        <f t="shared" si="9"/>
        <v>0.0742730657207904</v>
      </c>
      <c r="H23" s="33">
        <v>67758</v>
      </c>
      <c r="I23" s="23">
        <f t="shared" si="6"/>
        <v>2957</v>
      </c>
      <c r="J23" s="25">
        <f t="shared" si="2"/>
        <v>0.045632011851669</v>
      </c>
      <c r="K23" s="53"/>
    </row>
    <row r="24" s="1" customFormat="1" ht="21" customHeight="1" spans="1:11">
      <c r="A24" s="30" t="s">
        <v>1657</v>
      </c>
      <c r="B24" s="29">
        <v>3006</v>
      </c>
      <c r="C24" s="33">
        <v>3013</v>
      </c>
      <c r="D24" s="25">
        <f t="shared" si="8"/>
        <v>1.00232867598137</v>
      </c>
      <c r="E24" s="34">
        <v>519</v>
      </c>
      <c r="F24" s="23">
        <f t="shared" si="5"/>
        <v>2494</v>
      </c>
      <c r="G24" s="25">
        <f t="shared" si="9"/>
        <v>4.80539499036609</v>
      </c>
      <c r="H24" s="33">
        <v>305</v>
      </c>
      <c r="I24" s="23">
        <f t="shared" si="6"/>
        <v>-2708</v>
      </c>
      <c r="J24" s="25">
        <f t="shared" si="2"/>
        <v>-0.898771988051776</v>
      </c>
      <c r="K24" s="53"/>
    </row>
    <row r="25" s="1" customFormat="1" ht="21" customHeight="1" spans="1:11">
      <c r="A25" s="32" t="s">
        <v>1658</v>
      </c>
      <c r="B25" s="29">
        <v>26</v>
      </c>
      <c r="C25" s="33">
        <v>26</v>
      </c>
      <c r="D25" s="25">
        <f t="shared" si="8"/>
        <v>1</v>
      </c>
      <c r="E25" s="34">
        <v>34.24</v>
      </c>
      <c r="F25" s="23">
        <f t="shared" si="5"/>
        <v>-8.24</v>
      </c>
      <c r="G25" s="25">
        <f t="shared" si="9"/>
        <v>-0.240654205607477</v>
      </c>
      <c r="H25" s="33">
        <v>15</v>
      </c>
      <c r="I25" s="23">
        <f t="shared" si="6"/>
        <v>-11</v>
      </c>
      <c r="J25" s="25">
        <f t="shared" si="2"/>
        <v>-0.423076923076923</v>
      </c>
      <c r="K25" s="53"/>
    </row>
    <row r="26" s="1" customFormat="1" ht="21" customHeight="1" spans="1:11">
      <c r="A26" s="22" t="s">
        <v>1636</v>
      </c>
      <c r="B26" s="34">
        <f>SUM(B27:B29)</f>
        <v>590207</v>
      </c>
      <c r="C26" s="34">
        <f t="shared" ref="C26:H26" si="11">SUM(C27:C29)</f>
        <v>585915</v>
      </c>
      <c r="D26" s="25">
        <f t="shared" si="8"/>
        <v>0.992727975100261</v>
      </c>
      <c r="E26" s="34">
        <f t="shared" si="11"/>
        <v>592491.770965</v>
      </c>
      <c r="F26" s="23">
        <f t="shared" si="5"/>
        <v>-6576.77096500003</v>
      </c>
      <c r="G26" s="25">
        <f t="shared" si="9"/>
        <v>-0.0111001895507989</v>
      </c>
      <c r="H26" s="31">
        <f t="shared" si="11"/>
        <v>585989</v>
      </c>
      <c r="I26" s="23">
        <f t="shared" si="6"/>
        <v>74</v>
      </c>
      <c r="J26" s="25">
        <f t="shared" si="2"/>
        <v>0.000126298183183568</v>
      </c>
      <c r="K26" s="53"/>
    </row>
    <row r="27" s="1" customFormat="1" ht="21" customHeight="1" spans="1:11">
      <c r="A27" s="35" t="s">
        <v>1660</v>
      </c>
      <c r="B27" s="29">
        <v>525590</v>
      </c>
      <c r="C27" s="31">
        <v>520561</v>
      </c>
      <c r="D27" s="25">
        <f t="shared" si="8"/>
        <v>0.990431705321638</v>
      </c>
      <c r="E27" s="34">
        <v>530049.343065</v>
      </c>
      <c r="F27" s="23">
        <f t="shared" si="5"/>
        <v>-9488.34306500002</v>
      </c>
      <c r="G27" s="25">
        <f t="shared" si="9"/>
        <v>-0.017900867511945</v>
      </c>
      <c r="H27" s="31">
        <v>522050</v>
      </c>
      <c r="I27" s="23">
        <f t="shared" si="6"/>
        <v>1489</v>
      </c>
      <c r="J27" s="25">
        <f t="shared" si="2"/>
        <v>0.00286037563321109</v>
      </c>
      <c r="K27" s="53"/>
    </row>
    <row r="28" s="1" customFormat="1" ht="21" customHeight="1" spans="1:11">
      <c r="A28" s="35" t="s">
        <v>1661</v>
      </c>
      <c r="B28" s="23">
        <v>64617</v>
      </c>
      <c r="C28" s="31">
        <v>65354</v>
      </c>
      <c r="D28" s="25">
        <f t="shared" si="8"/>
        <v>1.01140566723927</v>
      </c>
      <c r="E28" s="34">
        <v>62440.5899</v>
      </c>
      <c r="F28" s="23">
        <f t="shared" si="5"/>
        <v>2913.4101</v>
      </c>
      <c r="G28" s="25">
        <f t="shared" si="9"/>
        <v>0.0466589137717291</v>
      </c>
      <c r="H28" s="46">
        <v>63939</v>
      </c>
      <c r="I28" s="23">
        <f t="shared" si="6"/>
        <v>-1415</v>
      </c>
      <c r="J28" s="25">
        <f t="shared" si="2"/>
        <v>-0.0216513143801451</v>
      </c>
      <c r="K28" s="53"/>
    </row>
    <row r="29" s="1" customFormat="1" ht="21" customHeight="1" spans="1:11">
      <c r="A29" s="35" t="s">
        <v>1137</v>
      </c>
      <c r="B29" s="23"/>
      <c r="C29" s="31"/>
      <c r="D29" s="25"/>
      <c r="E29" s="34">
        <v>1.838</v>
      </c>
      <c r="F29" s="23">
        <f t="shared" si="5"/>
        <v>-1.838</v>
      </c>
      <c r="G29" s="25">
        <f t="shared" si="9"/>
        <v>-1</v>
      </c>
      <c r="H29" s="31"/>
      <c r="I29" s="23">
        <f t="shared" si="6"/>
        <v>0</v>
      </c>
      <c r="J29" s="25"/>
      <c r="K29" s="53"/>
    </row>
    <row r="30" s="1" customFormat="1" ht="22.5" hidden="1" customHeight="1" spans="1:11">
      <c r="A30" s="22" t="s">
        <v>1637</v>
      </c>
      <c r="B30" s="29"/>
      <c r="C30" s="31"/>
      <c r="D30" s="25" t="e">
        <f t="shared" ref="D30:D42" si="12">C30/B30</f>
        <v>#DIV/0!</v>
      </c>
      <c r="E30" s="45"/>
      <c r="F30" s="23">
        <f t="shared" si="5"/>
        <v>0</v>
      </c>
      <c r="G30" s="25" t="e">
        <f t="shared" si="9"/>
        <v>#DIV/0!</v>
      </c>
      <c r="H30" s="31"/>
      <c r="I30" s="23">
        <f t="shared" si="6"/>
        <v>0</v>
      </c>
      <c r="J30" s="25" t="e">
        <f t="shared" ref="J30:J42" si="13">I30/C30</f>
        <v>#DIV/0!</v>
      </c>
      <c r="K30" s="50"/>
    </row>
    <row r="31" ht="22.5" customHeight="1" spans="1:11">
      <c r="A31" s="36" t="s">
        <v>1662</v>
      </c>
      <c r="B31" s="23" t="e">
        <f>B33+B37+B39+B35</f>
        <v>#REF!</v>
      </c>
      <c r="C31" s="23" t="e">
        <f t="shared" ref="C31:H31" si="14">C33+C37+C39+C35</f>
        <v>#REF!</v>
      </c>
      <c r="D31" s="25" t="e">
        <f t="shared" si="12"/>
        <v>#REF!</v>
      </c>
      <c r="E31" s="23" t="e">
        <f t="shared" si="14"/>
        <v>#REF!</v>
      </c>
      <c r="F31" s="23" t="e">
        <f t="shared" si="5"/>
        <v>#REF!</v>
      </c>
      <c r="G31" s="25" t="e">
        <f t="shared" si="9"/>
        <v>#REF!</v>
      </c>
      <c r="H31" s="23" t="e">
        <f t="shared" si="14"/>
        <v>#REF!</v>
      </c>
      <c r="I31" s="23" t="e">
        <f t="shared" si="6"/>
        <v>#REF!</v>
      </c>
      <c r="J31" s="25" t="e">
        <f t="shared" si="13"/>
        <v>#REF!</v>
      </c>
      <c r="K31" s="55"/>
    </row>
    <row r="32" ht="22.5" customHeight="1" spans="1:11">
      <c r="A32" s="36" t="s">
        <v>1663</v>
      </c>
      <c r="B32" s="23">
        <f>B34+B38+B40+B36</f>
        <v>853020.08</v>
      </c>
      <c r="C32" s="23" t="e">
        <f t="shared" ref="C32:H32" si="15">C34+C38+C40+C36</f>
        <v>#REF!</v>
      </c>
      <c r="D32" s="25" t="e">
        <f t="shared" si="12"/>
        <v>#REF!</v>
      </c>
      <c r="E32" s="23">
        <f t="shared" si="15"/>
        <v>852388.53</v>
      </c>
      <c r="F32" s="23" t="e">
        <f t="shared" si="5"/>
        <v>#REF!</v>
      </c>
      <c r="G32" s="25" t="e">
        <f t="shared" si="9"/>
        <v>#REF!</v>
      </c>
      <c r="H32" s="23" t="e">
        <f t="shared" si="15"/>
        <v>#REF!</v>
      </c>
      <c r="I32" s="23" t="e">
        <f t="shared" si="6"/>
        <v>#REF!</v>
      </c>
      <c r="J32" s="25" t="e">
        <f t="shared" si="13"/>
        <v>#REF!</v>
      </c>
      <c r="K32" s="55"/>
    </row>
    <row r="33" s="3" customFormat="1" ht="22.5" customHeight="1" spans="1:11">
      <c r="A33" s="22" t="s">
        <v>1640</v>
      </c>
      <c r="B33" s="29" t="e">
        <f>#REF!-B12</f>
        <v>#REF!</v>
      </c>
      <c r="C33" s="29" t="e">
        <f>#REF!-C12</f>
        <v>#REF!</v>
      </c>
      <c r="D33" s="25" t="e">
        <f t="shared" si="12"/>
        <v>#REF!</v>
      </c>
      <c r="E33" s="34" t="e">
        <f>#REF!-E12</f>
        <v>#REF!</v>
      </c>
      <c r="F33" s="23" t="e">
        <f t="shared" si="5"/>
        <v>#REF!</v>
      </c>
      <c r="G33" s="25" t="e">
        <f t="shared" si="9"/>
        <v>#REF!</v>
      </c>
      <c r="H33" s="31" t="e">
        <f>#REF!-H12</f>
        <v>#REF!</v>
      </c>
      <c r="I33" s="23" t="e">
        <f t="shared" si="6"/>
        <v>#REF!</v>
      </c>
      <c r="J33" s="25" t="e">
        <f t="shared" si="13"/>
        <v>#REF!</v>
      </c>
      <c r="K33" s="55"/>
    </row>
    <row r="34" s="3" customFormat="1" ht="22.5" customHeight="1" spans="1:11">
      <c r="A34" s="37" t="s">
        <v>1641</v>
      </c>
      <c r="B34" s="29">
        <v>368394</v>
      </c>
      <c r="C34" s="31">
        <v>383506</v>
      </c>
      <c r="D34" s="25">
        <f t="shared" si="12"/>
        <v>1.04102129784958</v>
      </c>
      <c r="E34" s="34">
        <v>369001</v>
      </c>
      <c r="F34" s="23">
        <f t="shared" si="5"/>
        <v>14505</v>
      </c>
      <c r="G34" s="25">
        <f t="shared" si="9"/>
        <v>0.0393088365614185</v>
      </c>
      <c r="H34" s="31" t="e">
        <f>H33+C34</f>
        <v>#REF!</v>
      </c>
      <c r="I34" s="23" t="e">
        <f t="shared" si="6"/>
        <v>#REF!</v>
      </c>
      <c r="J34" s="25" t="e">
        <f t="shared" si="13"/>
        <v>#REF!</v>
      </c>
      <c r="K34" s="55"/>
    </row>
    <row r="35" ht="22.5" customHeight="1" spans="1:11">
      <c r="A35" s="38" t="s">
        <v>1642</v>
      </c>
      <c r="B35" s="29" t="e">
        <f>#REF!-B16</f>
        <v>#REF!</v>
      </c>
      <c r="C35" s="29" t="e">
        <f>#REF!-C16</f>
        <v>#REF!</v>
      </c>
      <c r="D35" s="25" t="e">
        <f t="shared" si="12"/>
        <v>#REF!</v>
      </c>
      <c r="E35" s="29" t="e">
        <f>#REF!-E16</f>
        <v>#REF!</v>
      </c>
      <c r="F35" s="23" t="e">
        <f t="shared" si="5"/>
        <v>#REF!</v>
      </c>
      <c r="G35" s="25" t="e">
        <f t="shared" si="9"/>
        <v>#REF!</v>
      </c>
      <c r="H35" s="29" t="e">
        <f>#REF!-H16</f>
        <v>#REF!</v>
      </c>
      <c r="I35" s="23" t="e">
        <f t="shared" si="6"/>
        <v>#REF!</v>
      </c>
      <c r="J35" s="25" t="e">
        <f t="shared" si="13"/>
        <v>#REF!</v>
      </c>
      <c r="K35" s="50"/>
    </row>
    <row r="36" ht="22.5" customHeight="1" spans="1:11">
      <c r="A36" s="38" t="s">
        <v>1643</v>
      </c>
      <c r="B36" s="29">
        <v>5240</v>
      </c>
      <c r="C36" s="31" t="e">
        <f>C35+E36</f>
        <v>#REF!</v>
      </c>
      <c r="D36" s="25" t="e">
        <f t="shared" si="12"/>
        <v>#REF!</v>
      </c>
      <c r="E36" s="34">
        <v>3898</v>
      </c>
      <c r="F36" s="23" t="e">
        <f t="shared" si="5"/>
        <v>#REF!</v>
      </c>
      <c r="G36" s="25" t="e">
        <f t="shared" si="9"/>
        <v>#REF!</v>
      </c>
      <c r="H36" s="31" t="e">
        <f>H35+C36</f>
        <v>#REF!</v>
      </c>
      <c r="I36" s="23" t="e">
        <f t="shared" si="6"/>
        <v>#REF!</v>
      </c>
      <c r="J36" s="25" t="e">
        <f t="shared" si="13"/>
        <v>#REF!</v>
      </c>
      <c r="K36" s="50"/>
    </row>
    <row r="37" ht="22.5" customHeight="1" spans="1:11">
      <c r="A37" s="38" t="s">
        <v>1644</v>
      </c>
      <c r="B37" s="29" t="e">
        <f>#REF!-B22</f>
        <v>#REF!</v>
      </c>
      <c r="C37" s="29" t="e">
        <f>#REF!-C22</f>
        <v>#REF!</v>
      </c>
      <c r="D37" s="25" t="e">
        <f t="shared" si="12"/>
        <v>#REF!</v>
      </c>
      <c r="E37" s="34" t="e">
        <f>#REF!-E22</f>
        <v>#REF!</v>
      </c>
      <c r="F37" s="23" t="e">
        <f t="shared" si="5"/>
        <v>#REF!</v>
      </c>
      <c r="G37" s="25" t="e">
        <f t="shared" si="9"/>
        <v>#REF!</v>
      </c>
      <c r="H37" s="31" t="e">
        <f>#REF!-H22</f>
        <v>#REF!</v>
      </c>
      <c r="I37" s="23" t="e">
        <f t="shared" si="6"/>
        <v>#REF!</v>
      </c>
      <c r="J37" s="25" t="e">
        <f t="shared" si="13"/>
        <v>#REF!</v>
      </c>
      <c r="K37" s="55"/>
    </row>
    <row r="38" ht="22.5" customHeight="1" spans="1:11">
      <c r="A38" s="38" t="s">
        <v>1645</v>
      </c>
      <c r="B38" s="29">
        <v>20928.08</v>
      </c>
      <c r="C38" s="31" t="e">
        <f>C37+E38</f>
        <v>#REF!</v>
      </c>
      <c r="D38" s="25" t="e">
        <f t="shared" si="12"/>
        <v>#REF!</v>
      </c>
      <c r="E38" s="34">
        <v>14365.53</v>
      </c>
      <c r="F38" s="23" t="e">
        <f t="shared" si="5"/>
        <v>#REF!</v>
      </c>
      <c r="G38" s="25" t="e">
        <f t="shared" si="9"/>
        <v>#REF!</v>
      </c>
      <c r="H38" s="34" t="e">
        <f>C38+H37</f>
        <v>#REF!</v>
      </c>
      <c r="I38" s="23" t="e">
        <f t="shared" si="6"/>
        <v>#REF!</v>
      </c>
      <c r="J38" s="25" t="e">
        <f t="shared" si="13"/>
        <v>#REF!</v>
      </c>
      <c r="K38" s="55"/>
    </row>
    <row r="39" s="3" customFormat="1" ht="22.5" customHeight="1" spans="1:11">
      <c r="A39" s="38" t="s">
        <v>1646</v>
      </c>
      <c r="B39" s="29" t="e">
        <f>#REF!-B26</f>
        <v>#REF!</v>
      </c>
      <c r="C39" s="29" t="e">
        <f>#REF!-C26</f>
        <v>#REF!</v>
      </c>
      <c r="D39" s="25" t="e">
        <f t="shared" si="12"/>
        <v>#REF!</v>
      </c>
      <c r="E39" s="29" t="e">
        <f>#REF!-E26</f>
        <v>#REF!</v>
      </c>
      <c r="F39" s="23" t="e">
        <f t="shared" si="5"/>
        <v>#REF!</v>
      </c>
      <c r="G39" s="25" t="e">
        <f t="shared" si="9"/>
        <v>#REF!</v>
      </c>
      <c r="H39" s="29" t="e">
        <f>#REF!-H26</f>
        <v>#REF!</v>
      </c>
      <c r="I39" s="23" t="e">
        <f t="shared" si="6"/>
        <v>#REF!</v>
      </c>
      <c r="J39" s="25" t="e">
        <f t="shared" si="13"/>
        <v>#REF!</v>
      </c>
      <c r="K39" s="55"/>
    </row>
    <row r="40" s="3" customFormat="1" ht="22.5" customHeight="1" spans="1:11">
      <c r="A40" s="38" t="s">
        <v>1647</v>
      </c>
      <c r="B40" s="29">
        <v>458458</v>
      </c>
      <c r="C40" s="31">
        <v>474642</v>
      </c>
      <c r="D40" s="25">
        <f t="shared" si="12"/>
        <v>1.03530094359789</v>
      </c>
      <c r="E40" s="34">
        <v>465124</v>
      </c>
      <c r="F40" s="23">
        <f t="shared" si="5"/>
        <v>9518</v>
      </c>
      <c r="G40" s="25">
        <f t="shared" si="9"/>
        <v>0.0204633603082189</v>
      </c>
      <c r="H40" s="31" t="e">
        <f>H39+C40</f>
        <v>#REF!</v>
      </c>
      <c r="I40" s="23" t="e">
        <f t="shared" si="6"/>
        <v>#REF!</v>
      </c>
      <c r="J40" s="25" t="e">
        <f t="shared" si="13"/>
        <v>#REF!</v>
      </c>
      <c r="K40" s="55"/>
    </row>
    <row r="41" ht="22.5" hidden="1" customHeight="1" spans="1:11">
      <c r="A41" s="38" t="s">
        <v>1613</v>
      </c>
      <c r="B41" s="39"/>
      <c r="C41" s="40"/>
      <c r="D41" s="25" t="e">
        <f t="shared" si="12"/>
        <v>#DIV/0!</v>
      </c>
      <c r="E41" s="34"/>
      <c r="F41" s="23">
        <f t="shared" si="5"/>
        <v>0</v>
      </c>
      <c r="G41" s="25" t="e">
        <f t="shared" si="9"/>
        <v>#DIV/0!</v>
      </c>
      <c r="H41" s="40"/>
      <c r="I41" s="23">
        <f t="shared" si="6"/>
        <v>0</v>
      </c>
      <c r="J41" s="45" t="e">
        <f t="shared" si="13"/>
        <v>#DIV/0!</v>
      </c>
      <c r="K41" s="55"/>
    </row>
    <row r="42" ht="22.5" hidden="1" customHeight="1" spans="1:10">
      <c r="A42" s="38" t="s">
        <v>1664</v>
      </c>
      <c r="B42" s="39"/>
      <c r="C42" s="40"/>
      <c r="D42" s="25" t="e">
        <f t="shared" si="12"/>
        <v>#DIV/0!</v>
      </c>
      <c r="E42" s="47"/>
      <c r="F42" s="23">
        <f t="shared" si="5"/>
        <v>0</v>
      </c>
      <c r="G42" s="25" t="e">
        <f t="shared" si="9"/>
        <v>#DIV/0!</v>
      </c>
      <c r="H42" s="40"/>
      <c r="I42" s="23">
        <f t="shared" si="6"/>
        <v>0</v>
      </c>
      <c r="J42" s="45" t="e">
        <f t="shared" si="13"/>
        <v>#DIV/0!</v>
      </c>
    </row>
    <row r="44" ht="14.25" spans="9:10">
      <c r="I44" s="56"/>
      <c r="J44" s="57"/>
    </row>
    <row r="48" spans="3:3">
      <c r="C48" s="5" t="s">
        <v>1630</v>
      </c>
    </row>
  </sheetData>
  <mergeCells count="13">
    <mergeCell ref="A2:J2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  <mergeCell ref="K4:K6"/>
  </mergeCells>
  <printOptions horizontalCentered="1"/>
  <pageMargins left="0.75" right="0.75" top="0.79" bottom="0.59" header="0.51" footer="0.43"/>
  <pageSetup paperSize="9" scale="75" orientation="landscape" horizontalDpi="600" verticalDpi="600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J113"/>
  <sheetViews>
    <sheetView showZeros="0" view="pageBreakPreview" zoomScale="120" zoomScaleNormal="100" zoomScaleSheetLayoutView="120" workbookViewId="0">
      <pane xSplit="1" ySplit="6" topLeftCell="B96" activePane="bottomRight" state="frozen"/>
      <selection/>
      <selection pane="topRight"/>
      <selection pane="bottomLeft"/>
      <selection pane="bottomRight" activeCell="H100" sqref="H100"/>
    </sheetView>
  </sheetViews>
  <sheetFormatPr defaultColWidth="9" defaultRowHeight="14.25"/>
  <cols>
    <col min="1" max="1" width="48.9166666666667" style="337" customWidth="1"/>
    <col min="2" max="2" width="13.5833333333333" style="334" customWidth="1"/>
    <col min="3" max="3" width="12.8333333333333" style="324" customWidth="1"/>
    <col min="4" max="4" width="9.33333333333333" style="351" customWidth="1"/>
    <col min="5" max="5" width="13.75" style="324" hidden="1" customWidth="1"/>
    <col min="6" max="6" width="10.8333333333333" style="350" customWidth="1"/>
    <col min="7" max="7" width="11" style="351" customWidth="1"/>
    <col min="8" max="8" width="12.8333333333333" style="400" customWidth="1"/>
    <col min="9" max="9" width="10.75" style="350" customWidth="1"/>
    <col min="10" max="10" width="9.58333333333333" style="351" customWidth="1"/>
    <col min="11" max="12" width="12.625" style="324"/>
    <col min="13" max="251" width="9" style="324"/>
    <col min="252" max="252" width="38" style="324" customWidth="1"/>
    <col min="253" max="253" width="13.25" style="324" customWidth="1"/>
    <col min="254" max="255" width="12.8333333333333" style="324" customWidth="1"/>
    <col min="256" max="257" width="13.75" style="324" customWidth="1"/>
    <col min="258" max="258" width="11" style="324" customWidth="1"/>
    <col min="259" max="259" width="10.3333333333333" style="324" customWidth="1"/>
    <col min="260" max="260" width="12.8333333333333" style="324" customWidth="1"/>
    <col min="261" max="261" width="11.5833333333333" style="324" customWidth="1"/>
    <col min="262" max="262" width="9.75" style="324" customWidth="1"/>
    <col min="263" max="507" width="9" style="324"/>
    <col min="508" max="508" width="38" style="324" customWidth="1"/>
    <col min="509" max="509" width="13.25" style="324" customWidth="1"/>
    <col min="510" max="511" width="12.8333333333333" style="324" customWidth="1"/>
    <col min="512" max="513" width="13.75" style="324" customWidth="1"/>
    <col min="514" max="514" width="11" style="324" customWidth="1"/>
    <col min="515" max="515" width="10.3333333333333" style="324" customWidth="1"/>
    <col min="516" max="516" width="12.8333333333333" style="324" customWidth="1"/>
    <col min="517" max="517" width="11.5833333333333" style="324" customWidth="1"/>
    <col min="518" max="518" width="9.75" style="324" customWidth="1"/>
    <col min="519" max="763" width="9" style="324"/>
    <col min="764" max="764" width="38" style="324" customWidth="1"/>
    <col min="765" max="765" width="13.25" style="324" customWidth="1"/>
    <col min="766" max="767" width="12.8333333333333" style="324" customWidth="1"/>
    <col min="768" max="769" width="13.75" style="324" customWidth="1"/>
    <col min="770" max="770" width="11" style="324" customWidth="1"/>
    <col min="771" max="771" width="10.3333333333333" style="324" customWidth="1"/>
    <col min="772" max="772" width="12.8333333333333" style="324" customWidth="1"/>
    <col min="773" max="773" width="11.5833333333333" style="324" customWidth="1"/>
    <col min="774" max="774" width="9.75" style="324" customWidth="1"/>
    <col min="775" max="1019" width="9" style="324"/>
    <col min="1020" max="1020" width="38" style="324" customWidth="1"/>
    <col min="1021" max="1021" width="13.25" style="324" customWidth="1"/>
    <col min="1022" max="1023" width="12.8333333333333" style="324" customWidth="1"/>
    <col min="1024" max="1025" width="13.75" style="324" customWidth="1"/>
    <col min="1026" max="1026" width="11" style="324" customWidth="1"/>
    <col min="1027" max="1027" width="10.3333333333333" style="324" customWidth="1"/>
    <col min="1028" max="1028" width="12.8333333333333" style="324" customWidth="1"/>
    <col min="1029" max="1029" width="11.5833333333333" style="324" customWidth="1"/>
    <col min="1030" max="1030" width="9.75" style="324" customWidth="1"/>
    <col min="1031" max="1275" width="9" style="324"/>
    <col min="1276" max="1276" width="38" style="324" customWidth="1"/>
    <col min="1277" max="1277" width="13.25" style="324" customWidth="1"/>
    <col min="1278" max="1279" width="12.8333333333333" style="324" customWidth="1"/>
    <col min="1280" max="1281" width="13.75" style="324" customWidth="1"/>
    <col min="1282" max="1282" width="11" style="324" customWidth="1"/>
    <col min="1283" max="1283" width="10.3333333333333" style="324" customWidth="1"/>
    <col min="1284" max="1284" width="12.8333333333333" style="324" customWidth="1"/>
    <col min="1285" max="1285" width="11.5833333333333" style="324" customWidth="1"/>
    <col min="1286" max="1286" width="9.75" style="324" customWidth="1"/>
    <col min="1287" max="1531" width="9" style="324"/>
    <col min="1532" max="1532" width="38" style="324" customWidth="1"/>
    <col min="1533" max="1533" width="13.25" style="324" customWidth="1"/>
    <col min="1534" max="1535" width="12.8333333333333" style="324" customWidth="1"/>
    <col min="1536" max="1537" width="13.75" style="324" customWidth="1"/>
    <col min="1538" max="1538" width="11" style="324" customWidth="1"/>
    <col min="1539" max="1539" width="10.3333333333333" style="324" customWidth="1"/>
    <col min="1540" max="1540" width="12.8333333333333" style="324" customWidth="1"/>
    <col min="1541" max="1541" width="11.5833333333333" style="324" customWidth="1"/>
    <col min="1542" max="1542" width="9.75" style="324" customWidth="1"/>
    <col min="1543" max="1787" width="9" style="324"/>
    <col min="1788" max="1788" width="38" style="324" customWidth="1"/>
    <col min="1789" max="1789" width="13.25" style="324" customWidth="1"/>
    <col min="1790" max="1791" width="12.8333333333333" style="324" customWidth="1"/>
    <col min="1792" max="1793" width="13.75" style="324" customWidth="1"/>
    <col min="1794" max="1794" width="11" style="324" customWidth="1"/>
    <col min="1795" max="1795" width="10.3333333333333" style="324" customWidth="1"/>
    <col min="1796" max="1796" width="12.8333333333333" style="324" customWidth="1"/>
    <col min="1797" max="1797" width="11.5833333333333" style="324" customWidth="1"/>
    <col min="1798" max="1798" width="9.75" style="324" customWidth="1"/>
    <col min="1799" max="2043" width="9" style="324"/>
    <col min="2044" max="2044" width="38" style="324" customWidth="1"/>
    <col min="2045" max="2045" width="13.25" style="324" customWidth="1"/>
    <col min="2046" max="2047" width="12.8333333333333" style="324" customWidth="1"/>
    <col min="2048" max="2049" width="13.75" style="324" customWidth="1"/>
    <col min="2050" max="2050" width="11" style="324" customWidth="1"/>
    <col min="2051" max="2051" width="10.3333333333333" style="324" customWidth="1"/>
    <col min="2052" max="2052" width="12.8333333333333" style="324" customWidth="1"/>
    <col min="2053" max="2053" width="11.5833333333333" style="324" customWidth="1"/>
    <col min="2054" max="2054" width="9.75" style="324" customWidth="1"/>
    <col min="2055" max="2299" width="9" style="324"/>
    <col min="2300" max="2300" width="38" style="324" customWidth="1"/>
    <col min="2301" max="2301" width="13.25" style="324" customWidth="1"/>
    <col min="2302" max="2303" width="12.8333333333333" style="324" customWidth="1"/>
    <col min="2304" max="2305" width="13.75" style="324" customWidth="1"/>
    <col min="2306" max="2306" width="11" style="324" customWidth="1"/>
    <col min="2307" max="2307" width="10.3333333333333" style="324" customWidth="1"/>
    <col min="2308" max="2308" width="12.8333333333333" style="324" customWidth="1"/>
    <col min="2309" max="2309" width="11.5833333333333" style="324" customWidth="1"/>
    <col min="2310" max="2310" width="9.75" style="324" customWidth="1"/>
    <col min="2311" max="2555" width="9" style="324"/>
    <col min="2556" max="2556" width="38" style="324" customWidth="1"/>
    <col min="2557" max="2557" width="13.25" style="324" customWidth="1"/>
    <col min="2558" max="2559" width="12.8333333333333" style="324" customWidth="1"/>
    <col min="2560" max="2561" width="13.75" style="324" customWidth="1"/>
    <col min="2562" max="2562" width="11" style="324" customWidth="1"/>
    <col min="2563" max="2563" width="10.3333333333333" style="324" customWidth="1"/>
    <col min="2564" max="2564" width="12.8333333333333" style="324" customWidth="1"/>
    <col min="2565" max="2565" width="11.5833333333333" style="324" customWidth="1"/>
    <col min="2566" max="2566" width="9.75" style="324" customWidth="1"/>
    <col min="2567" max="2811" width="9" style="324"/>
    <col min="2812" max="2812" width="38" style="324" customWidth="1"/>
    <col min="2813" max="2813" width="13.25" style="324" customWidth="1"/>
    <col min="2814" max="2815" width="12.8333333333333" style="324" customWidth="1"/>
    <col min="2816" max="2817" width="13.75" style="324" customWidth="1"/>
    <col min="2818" max="2818" width="11" style="324" customWidth="1"/>
    <col min="2819" max="2819" width="10.3333333333333" style="324" customWidth="1"/>
    <col min="2820" max="2820" width="12.8333333333333" style="324" customWidth="1"/>
    <col min="2821" max="2821" width="11.5833333333333" style="324" customWidth="1"/>
    <col min="2822" max="2822" width="9.75" style="324" customWidth="1"/>
    <col min="2823" max="3067" width="9" style="324"/>
    <col min="3068" max="3068" width="38" style="324" customWidth="1"/>
    <col min="3069" max="3069" width="13.25" style="324" customWidth="1"/>
    <col min="3070" max="3071" width="12.8333333333333" style="324" customWidth="1"/>
    <col min="3072" max="3073" width="13.75" style="324" customWidth="1"/>
    <col min="3074" max="3074" width="11" style="324" customWidth="1"/>
    <col min="3075" max="3075" width="10.3333333333333" style="324" customWidth="1"/>
    <col min="3076" max="3076" width="12.8333333333333" style="324" customWidth="1"/>
    <col min="3077" max="3077" width="11.5833333333333" style="324" customWidth="1"/>
    <col min="3078" max="3078" width="9.75" style="324" customWidth="1"/>
    <col min="3079" max="3323" width="9" style="324"/>
    <col min="3324" max="3324" width="38" style="324" customWidth="1"/>
    <col min="3325" max="3325" width="13.25" style="324" customWidth="1"/>
    <col min="3326" max="3327" width="12.8333333333333" style="324" customWidth="1"/>
    <col min="3328" max="3329" width="13.75" style="324" customWidth="1"/>
    <col min="3330" max="3330" width="11" style="324" customWidth="1"/>
    <col min="3331" max="3331" width="10.3333333333333" style="324" customWidth="1"/>
    <col min="3332" max="3332" width="12.8333333333333" style="324" customWidth="1"/>
    <col min="3333" max="3333" width="11.5833333333333" style="324" customWidth="1"/>
    <col min="3334" max="3334" width="9.75" style="324" customWidth="1"/>
    <col min="3335" max="3579" width="9" style="324"/>
    <col min="3580" max="3580" width="38" style="324" customWidth="1"/>
    <col min="3581" max="3581" width="13.25" style="324" customWidth="1"/>
    <col min="3582" max="3583" width="12.8333333333333" style="324" customWidth="1"/>
    <col min="3584" max="3585" width="13.75" style="324" customWidth="1"/>
    <col min="3586" max="3586" width="11" style="324" customWidth="1"/>
    <col min="3587" max="3587" width="10.3333333333333" style="324" customWidth="1"/>
    <col min="3588" max="3588" width="12.8333333333333" style="324" customWidth="1"/>
    <col min="3589" max="3589" width="11.5833333333333" style="324" customWidth="1"/>
    <col min="3590" max="3590" width="9.75" style="324" customWidth="1"/>
    <col min="3591" max="3835" width="9" style="324"/>
    <col min="3836" max="3836" width="38" style="324" customWidth="1"/>
    <col min="3837" max="3837" width="13.25" style="324" customWidth="1"/>
    <col min="3838" max="3839" width="12.8333333333333" style="324" customWidth="1"/>
    <col min="3840" max="3841" width="13.75" style="324" customWidth="1"/>
    <col min="3842" max="3842" width="11" style="324" customWidth="1"/>
    <col min="3843" max="3843" width="10.3333333333333" style="324" customWidth="1"/>
    <col min="3844" max="3844" width="12.8333333333333" style="324" customWidth="1"/>
    <col min="3845" max="3845" width="11.5833333333333" style="324" customWidth="1"/>
    <col min="3846" max="3846" width="9.75" style="324" customWidth="1"/>
    <col min="3847" max="4091" width="9" style="324"/>
    <col min="4092" max="4092" width="38" style="324" customWidth="1"/>
    <col min="4093" max="4093" width="13.25" style="324" customWidth="1"/>
    <col min="4094" max="4095" width="12.8333333333333" style="324" customWidth="1"/>
    <col min="4096" max="4097" width="13.75" style="324" customWidth="1"/>
    <col min="4098" max="4098" width="11" style="324" customWidth="1"/>
    <col min="4099" max="4099" width="10.3333333333333" style="324" customWidth="1"/>
    <col min="4100" max="4100" width="12.8333333333333" style="324" customWidth="1"/>
    <col min="4101" max="4101" width="11.5833333333333" style="324" customWidth="1"/>
    <col min="4102" max="4102" width="9.75" style="324" customWidth="1"/>
    <col min="4103" max="4347" width="9" style="324"/>
    <col min="4348" max="4348" width="38" style="324" customWidth="1"/>
    <col min="4349" max="4349" width="13.25" style="324" customWidth="1"/>
    <col min="4350" max="4351" width="12.8333333333333" style="324" customWidth="1"/>
    <col min="4352" max="4353" width="13.75" style="324" customWidth="1"/>
    <col min="4354" max="4354" width="11" style="324" customWidth="1"/>
    <col min="4355" max="4355" width="10.3333333333333" style="324" customWidth="1"/>
    <col min="4356" max="4356" width="12.8333333333333" style="324" customWidth="1"/>
    <col min="4357" max="4357" width="11.5833333333333" style="324" customWidth="1"/>
    <col min="4358" max="4358" width="9.75" style="324" customWidth="1"/>
    <col min="4359" max="4603" width="9" style="324"/>
    <col min="4604" max="4604" width="38" style="324" customWidth="1"/>
    <col min="4605" max="4605" width="13.25" style="324" customWidth="1"/>
    <col min="4606" max="4607" width="12.8333333333333" style="324" customWidth="1"/>
    <col min="4608" max="4609" width="13.75" style="324" customWidth="1"/>
    <col min="4610" max="4610" width="11" style="324" customWidth="1"/>
    <col min="4611" max="4611" width="10.3333333333333" style="324" customWidth="1"/>
    <col min="4612" max="4612" width="12.8333333333333" style="324" customWidth="1"/>
    <col min="4613" max="4613" width="11.5833333333333" style="324" customWidth="1"/>
    <col min="4614" max="4614" width="9.75" style="324" customWidth="1"/>
    <col min="4615" max="4859" width="9" style="324"/>
    <col min="4860" max="4860" width="38" style="324" customWidth="1"/>
    <col min="4861" max="4861" width="13.25" style="324" customWidth="1"/>
    <col min="4862" max="4863" width="12.8333333333333" style="324" customWidth="1"/>
    <col min="4864" max="4865" width="13.75" style="324" customWidth="1"/>
    <col min="4866" max="4866" width="11" style="324" customWidth="1"/>
    <col min="4867" max="4867" width="10.3333333333333" style="324" customWidth="1"/>
    <col min="4868" max="4868" width="12.8333333333333" style="324" customWidth="1"/>
    <col min="4869" max="4869" width="11.5833333333333" style="324" customWidth="1"/>
    <col min="4870" max="4870" width="9.75" style="324" customWidth="1"/>
    <col min="4871" max="5115" width="9" style="324"/>
    <col min="5116" max="5116" width="38" style="324" customWidth="1"/>
    <col min="5117" max="5117" width="13.25" style="324" customWidth="1"/>
    <col min="5118" max="5119" width="12.8333333333333" style="324" customWidth="1"/>
    <col min="5120" max="5121" width="13.75" style="324" customWidth="1"/>
    <col min="5122" max="5122" width="11" style="324" customWidth="1"/>
    <col min="5123" max="5123" width="10.3333333333333" style="324" customWidth="1"/>
    <col min="5124" max="5124" width="12.8333333333333" style="324" customWidth="1"/>
    <col min="5125" max="5125" width="11.5833333333333" style="324" customWidth="1"/>
    <col min="5126" max="5126" width="9.75" style="324" customWidth="1"/>
    <col min="5127" max="5371" width="9" style="324"/>
    <col min="5372" max="5372" width="38" style="324" customWidth="1"/>
    <col min="5373" max="5373" width="13.25" style="324" customWidth="1"/>
    <col min="5374" max="5375" width="12.8333333333333" style="324" customWidth="1"/>
    <col min="5376" max="5377" width="13.75" style="324" customWidth="1"/>
    <col min="5378" max="5378" width="11" style="324" customWidth="1"/>
    <col min="5379" max="5379" width="10.3333333333333" style="324" customWidth="1"/>
    <col min="5380" max="5380" width="12.8333333333333" style="324" customWidth="1"/>
    <col min="5381" max="5381" width="11.5833333333333" style="324" customWidth="1"/>
    <col min="5382" max="5382" width="9.75" style="324" customWidth="1"/>
    <col min="5383" max="5627" width="9" style="324"/>
    <col min="5628" max="5628" width="38" style="324" customWidth="1"/>
    <col min="5629" max="5629" width="13.25" style="324" customWidth="1"/>
    <col min="5630" max="5631" width="12.8333333333333" style="324" customWidth="1"/>
    <col min="5632" max="5633" width="13.75" style="324" customWidth="1"/>
    <col min="5634" max="5634" width="11" style="324" customWidth="1"/>
    <col min="5635" max="5635" width="10.3333333333333" style="324" customWidth="1"/>
    <col min="5636" max="5636" width="12.8333333333333" style="324" customWidth="1"/>
    <col min="5637" max="5637" width="11.5833333333333" style="324" customWidth="1"/>
    <col min="5638" max="5638" width="9.75" style="324" customWidth="1"/>
    <col min="5639" max="5883" width="9" style="324"/>
    <col min="5884" max="5884" width="38" style="324" customWidth="1"/>
    <col min="5885" max="5885" width="13.25" style="324" customWidth="1"/>
    <col min="5886" max="5887" width="12.8333333333333" style="324" customWidth="1"/>
    <col min="5888" max="5889" width="13.75" style="324" customWidth="1"/>
    <col min="5890" max="5890" width="11" style="324" customWidth="1"/>
    <col min="5891" max="5891" width="10.3333333333333" style="324" customWidth="1"/>
    <col min="5892" max="5892" width="12.8333333333333" style="324" customWidth="1"/>
    <col min="5893" max="5893" width="11.5833333333333" style="324" customWidth="1"/>
    <col min="5894" max="5894" width="9.75" style="324" customWidth="1"/>
    <col min="5895" max="6139" width="9" style="324"/>
    <col min="6140" max="6140" width="38" style="324" customWidth="1"/>
    <col min="6141" max="6141" width="13.25" style="324" customWidth="1"/>
    <col min="6142" max="6143" width="12.8333333333333" style="324" customWidth="1"/>
    <col min="6144" max="6145" width="13.75" style="324" customWidth="1"/>
    <col min="6146" max="6146" width="11" style="324" customWidth="1"/>
    <col min="6147" max="6147" width="10.3333333333333" style="324" customWidth="1"/>
    <col min="6148" max="6148" width="12.8333333333333" style="324" customWidth="1"/>
    <col min="6149" max="6149" width="11.5833333333333" style="324" customWidth="1"/>
    <col min="6150" max="6150" width="9.75" style="324" customWidth="1"/>
    <col min="6151" max="6395" width="9" style="324"/>
    <col min="6396" max="6396" width="38" style="324" customWidth="1"/>
    <col min="6397" max="6397" width="13.25" style="324" customWidth="1"/>
    <col min="6398" max="6399" width="12.8333333333333" style="324" customWidth="1"/>
    <col min="6400" max="6401" width="13.75" style="324" customWidth="1"/>
    <col min="6402" max="6402" width="11" style="324" customWidth="1"/>
    <col min="6403" max="6403" width="10.3333333333333" style="324" customWidth="1"/>
    <col min="6404" max="6404" width="12.8333333333333" style="324" customWidth="1"/>
    <col min="6405" max="6405" width="11.5833333333333" style="324" customWidth="1"/>
    <col min="6406" max="6406" width="9.75" style="324" customWidth="1"/>
    <col min="6407" max="6651" width="9" style="324"/>
    <col min="6652" max="6652" width="38" style="324" customWidth="1"/>
    <col min="6653" max="6653" width="13.25" style="324" customWidth="1"/>
    <col min="6654" max="6655" width="12.8333333333333" style="324" customWidth="1"/>
    <col min="6656" max="6657" width="13.75" style="324" customWidth="1"/>
    <col min="6658" max="6658" width="11" style="324" customWidth="1"/>
    <col min="6659" max="6659" width="10.3333333333333" style="324" customWidth="1"/>
    <col min="6660" max="6660" width="12.8333333333333" style="324" customWidth="1"/>
    <col min="6661" max="6661" width="11.5833333333333" style="324" customWidth="1"/>
    <col min="6662" max="6662" width="9.75" style="324" customWidth="1"/>
    <col min="6663" max="6907" width="9" style="324"/>
    <col min="6908" max="6908" width="38" style="324" customWidth="1"/>
    <col min="6909" max="6909" width="13.25" style="324" customWidth="1"/>
    <col min="6910" max="6911" width="12.8333333333333" style="324" customWidth="1"/>
    <col min="6912" max="6913" width="13.75" style="324" customWidth="1"/>
    <col min="6914" max="6914" width="11" style="324" customWidth="1"/>
    <col min="6915" max="6915" width="10.3333333333333" style="324" customWidth="1"/>
    <col min="6916" max="6916" width="12.8333333333333" style="324" customWidth="1"/>
    <col min="6917" max="6917" width="11.5833333333333" style="324" customWidth="1"/>
    <col min="6918" max="6918" width="9.75" style="324" customWidth="1"/>
    <col min="6919" max="7163" width="9" style="324"/>
    <col min="7164" max="7164" width="38" style="324" customWidth="1"/>
    <col min="7165" max="7165" width="13.25" style="324" customWidth="1"/>
    <col min="7166" max="7167" width="12.8333333333333" style="324" customWidth="1"/>
    <col min="7168" max="7169" width="13.75" style="324" customWidth="1"/>
    <col min="7170" max="7170" width="11" style="324" customWidth="1"/>
    <col min="7171" max="7171" width="10.3333333333333" style="324" customWidth="1"/>
    <col min="7172" max="7172" width="12.8333333333333" style="324" customWidth="1"/>
    <col min="7173" max="7173" width="11.5833333333333" style="324" customWidth="1"/>
    <col min="7174" max="7174" width="9.75" style="324" customWidth="1"/>
    <col min="7175" max="7419" width="9" style="324"/>
    <col min="7420" max="7420" width="38" style="324" customWidth="1"/>
    <col min="7421" max="7421" width="13.25" style="324" customWidth="1"/>
    <col min="7422" max="7423" width="12.8333333333333" style="324" customWidth="1"/>
    <col min="7424" max="7425" width="13.75" style="324" customWidth="1"/>
    <col min="7426" max="7426" width="11" style="324" customWidth="1"/>
    <col min="7427" max="7427" width="10.3333333333333" style="324" customWidth="1"/>
    <col min="7428" max="7428" width="12.8333333333333" style="324" customWidth="1"/>
    <col min="7429" max="7429" width="11.5833333333333" style="324" customWidth="1"/>
    <col min="7430" max="7430" width="9.75" style="324" customWidth="1"/>
    <col min="7431" max="7675" width="9" style="324"/>
    <col min="7676" max="7676" width="38" style="324" customWidth="1"/>
    <col min="7677" max="7677" width="13.25" style="324" customWidth="1"/>
    <col min="7678" max="7679" width="12.8333333333333" style="324" customWidth="1"/>
    <col min="7680" max="7681" width="13.75" style="324" customWidth="1"/>
    <col min="7682" max="7682" width="11" style="324" customWidth="1"/>
    <col min="7683" max="7683" width="10.3333333333333" style="324" customWidth="1"/>
    <col min="7684" max="7684" width="12.8333333333333" style="324" customWidth="1"/>
    <col min="7685" max="7685" width="11.5833333333333" style="324" customWidth="1"/>
    <col min="7686" max="7686" width="9.75" style="324" customWidth="1"/>
    <col min="7687" max="7931" width="9" style="324"/>
    <col min="7932" max="7932" width="38" style="324" customWidth="1"/>
    <col min="7933" max="7933" width="13.25" style="324" customWidth="1"/>
    <col min="7934" max="7935" width="12.8333333333333" style="324" customWidth="1"/>
    <col min="7936" max="7937" width="13.75" style="324" customWidth="1"/>
    <col min="7938" max="7938" width="11" style="324" customWidth="1"/>
    <col min="7939" max="7939" width="10.3333333333333" style="324" customWidth="1"/>
    <col min="7940" max="7940" width="12.8333333333333" style="324" customWidth="1"/>
    <col min="7941" max="7941" width="11.5833333333333" style="324" customWidth="1"/>
    <col min="7942" max="7942" width="9.75" style="324" customWidth="1"/>
    <col min="7943" max="8187" width="9" style="324"/>
    <col min="8188" max="8188" width="38" style="324" customWidth="1"/>
    <col min="8189" max="8189" width="13.25" style="324" customWidth="1"/>
    <col min="8190" max="8191" width="12.8333333333333" style="324" customWidth="1"/>
    <col min="8192" max="8193" width="13.75" style="324" customWidth="1"/>
    <col min="8194" max="8194" width="11" style="324" customWidth="1"/>
    <col min="8195" max="8195" width="10.3333333333333" style="324" customWidth="1"/>
    <col min="8196" max="8196" width="12.8333333333333" style="324" customWidth="1"/>
    <col min="8197" max="8197" width="11.5833333333333" style="324" customWidth="1"/>
    <col min="8198" max="8198" width="9.75" style="324" customWidth="1"/>
    <col min="8199" max="8443" width="9" style="324"/>
    <col min="8444" max="8444" width="38" style="324" customWidth="1"/>
    <col min="8445" max="8445" width="13.25" style="324" customWidth="1"/>
    <col min="8446" max="8447" width="12.8333333333333" style="324" customWidth="1"/>
    <col min="8448" max="8449" width="13.75" style="324" customWidth="1"/>
    <col min="8450" max="8450" width="11" style="324" customWidth="1"/>
    <col min="8451" max="8451" width="10.3333333333333" style="324" customWidth="1"/>
    <col min="8452" max="8452" width="12.8333333333333" style="324" customWidth="1"/>
    <col min="8453" max="8453" width="11.5833333333333" style="324" customWidth="1"/>
    <col min="8454" max="8454" width="9.75" style="324" customWidth="1"/>
    <col min="8455" max="8699" width="9" style="324"/>
    <col min="8700" max="8700" width="38" style="324" customWidth="1"/>
    <col min="8701" max="8701" width="13.25" style="324" customWidth="1"/>
    <col min="8702" max="8703" width="12.8333333333333" style="324" customWidth="1"/>
    <col min="8704" max="8705" width="13.75" style="324" customWidth="1"/>
    <col min="8706" max="8706" width="11" style="324" customWidth="1"/>
    <col min="8707" max="8707" width="10.3333333333333" style="324" customWidth="1"/>
    <col min="8708" max="8708" width="12.8333333333333" style="324" customWidth="1"/>
    <col min="8709" max="8709" width="11.5833333333333" style="324" customWidth="1"/>
    <col min="8710" max="8710" width="9.75" style="324" customWidth="1"/>
    <col min="8711" max="8955" width="9" style="324"/>
    <col min="8956" max="8956" width="38" style="324" customWidth="1"/>
    <col min="8957" max="8957" width="13.25" style="324" customWidth="1"/>
    <col min="8958" max="8959" width="12.8333333333333" style="324" customWidth="1"/>
    <col min="8960" max="8961" width="13.75" style="324" customWidth="1"/>
    <col min="8962" max="8962" width="11" style="324" customWidth="1"/>
    <col min="8963" max="8963" width="10.3333333333333" style="324" customWidth="1"/>
    <col min="8964" max="8964" width="12.8333333333333" style="324" customWidth="1"/>
    <col min="8965" max="8965" width="11.5833333333333" style="324" customWidth="1"/>
    <col min="8966" max="8966" width="9.75" style="324" customWidth="1"/>
    <col min="8967" max="9211" width="9" style="324"/>
    <col min="9212" max="9212" width="38" style="324" customWidth="1"/>
    <col min="9213" max="9213" width="13.25" style="324" customWidth="1"/>
    <col min="9214" max="9215" width="12.8333333333333" style="324" customWidth="1"/>
    <col min="9216" max="9217" width="13.75" style="324" customWidth="1"/>
    <col min="9218" max="9218" width="11" style="324" customWidth="1"/>
    <col min="9219" max="9219" width="10.3333333333333" style="324" customWidth="1"/>
    <col min="9220" max="9220" width="12.8333333333333" style="324" customWidth="1"/>
    <col min="9221" max="9221" width="11.5833333333333" style="324" customWidth="1"/>
    <col min="9222" max="9222" width="9.75" style="324" customWidth="1"/>
    <col min="9223" max="9467" width="9" style="324"/>
    <col min="9468" max="9468" width="38" style="324" customWidth="1"/>
    <col min="9469" max="9469" width="13.25" style="324" customWidth="1"/>
    <col min="9470" max="9471" width="12.8333333333333" style="324" customWidth="1"/>
    <col min="9472" max="9473" width="13.75" style="324" customWidth="1"/>
    <col min="9474" max="9474" width="11" style="324" customWidth="1"/>
    <col min="9475" max="9475" width="10.3333333333333" style="324" customWidth="1"/>
    <col min="9476" max="9476" width="12.8333333333333" style="324" customWidth="1"/>
    <col min="9477" max="9477" width="11.5833333333333" style="324" customWidth="1"/>
    <col min="9478" max="9478" width="9.75" style="324" customWidth="1"/>
    <col min="9479" max="9723" width="9" style="324"/>
    <col min="9724" max="9724" width="38" style="324" customWidth="1"/>
    <col min="9725" max="9725" width="13.25" style="324" customWidth="1"/>
    <col min="9726" max="9727" width="12.8333333333333" style="324" customWidth="1"/>
    <col min="9728" max="9729" width="13.75" style="324" customWidth="1"/>
    <col min="9730" max="9730" width="11" style="324" customWidth="1"/>
    <col min="9731" max="9731" width="10.3333333333333" style="324" customWidth="1"/>
    <col min="9732" max="9732" width="12.8333333333333" style="324" customWidth="1"/>
    <col min="9733" max="9733" width="11.5833333333333" style="324" customWidth="1"/>
    <col min="9734" max="9734" width="9.75" style="324" customWidth="1"/>
    <col min="9735" max="9979" width="9" style="324"/>
    <col min="9980" max="9980" width="38" style="324" customWidth="1"/>
    <col min="9981" max="9981" width="13.25" style="324" customWidth="1"/>
    <col min="9982" max="9983" width="12.8333333333333" style="324" customWidth="1"/>
    <col min="9984" max="9985" width="13.75" style="324" customWidth="1"/>
    <col min="9986" max="9986" width="11" style="324" customWidth="1"/>
    <col min="9987" max="9987" width="10.3333333333333" style="324" customWidth="1"/>
    <col min="9988" max="9988" width="12.8333333333333" style="324" customWidth="1"/>
    <col min="9989" max="9989" width="11.5833333333333" style="324" customWidth="1"/>
    <col min="9990" max="9990" width="9.75" style="324" customWidth="1"/>
    <col min="9991" max="10235" width="9" style="324"/>
    <col min="10236" max="10236" width="38" style="324" customWidth="1"/>
    <col min="10237" max="10237" width="13.25" style="324" customWidth="1"/>
    <col min="10238" max="10239" width="12.8333333333333" style="324" customWidth="1"/>
    <col min="10240" max="10241" width="13.75" style="324" customWidth="1"/>
    <col min="10242" max="10242" width="11" style="324" customWidth="1"/>
    <col min="10243" max="10243" width="10.3333333333333" style="324" customWidth="1"/>
    <col min="10244" max="10244" width="12.8333333333333" style="324" customWidth="1"/>
    <col min="10245" max="10245" width="11.5833333333333" style="324" customWidth="1"/>
    <col min="10246" max="10246" width="9.75" style="324" customWidth="1"/>
    <col min="10247" max="10491" width="9" style="324"/>
    <col min="10492" max="10492" width="38" style="324" customWidth="1"/>
    <col min="10493" max="10493" width="13.25" style="324" customWidth="1"/>
    <col min="10494" max="10495" width="12.8333333333333" style="324" customWidth="1"/>
    <col min="10496" max="10497" width="13.75" style="324" customWidth="1"/>
    <col min="10498" max="10498" width="11" style="324" customWidth="1"/>
    <col min="10499" max="10499" width="10.3333333333333" style="324" customWidth="1"/>
    <col min="10500" max="10500" width="12.8333333333333" style="324" customWidth="1"/>
    <col min="10501" max="10501" width="11.5833333333333" style="324" customWidth="1"/>
    <col min="10502" max="10502" width="9.75" style="324" customWidth="1"/>
    <col min="10503" max="10747" width="9" style="324"/>
    <col min="10748" max="10748" width="38" style="324" customWidth="1"/>
    <col min="10749" max="10749" width="13.25" style="324" customWidth="1"/>
    <col min="10750" max="10751" width="12.8333333333333" style="324" customWidth="1"/>
    <col min="10752" max="10753" width="13.75" style="324" customWidth="1"/>
    <col min="10754" max="10754" width="11" style="324" customWidth="1"/>
    <col min="10755" max="10755" width="10.3333333333333" style="324" customWidth="1"/>
    <col min="10756" max="10756" width="12.8333333333333" style="324" customWidth="1"/>
    <col min="10757" max="10757" width="11.5833333333333" style="324" customWidth="1"/>
    <col min="10758" max="10758" width="9.75" style="324" customWidth="1"/>
    <col min="10759" max="11003" width="9" style="324"/>
    <col min="11004" max="11004" width="38" style="324" customWidth="1"/>
    <col min="11005" max="11005" width="13.25" style="324" customWidth="1"/>
    <col min="11006" max="11007" width="12.8333333333333" style="324" customWidth="1"/>
    <col min="11008" max="11009" width="13.75" style="324" customWidth="1"/>
    <col min="11010" max="11010" width="11" style="324" customWidth="1"/>
    <col min="11011" max="11011" width="10.3333333333333" style="324" customWidth="1"/>
    <col min="11012" max="11012" width="12.8333333333333" style="324" customWidth="1"/>
    <col min="11013" max="11013" width="11.5833333333333" style="324" customWidth="1"/>
    <col min="11014" max="11014" width="9.75" style="324" customWidth="1"/>
    <col min="11015" max="11259" width="9" style="324"/>
    <col min="11260" max="11260" width="38" style="324" customWidth="1"/>
    <col min="11261" max="11261" width="13.25" style="324" customWidth="1"/>
    <col min="11262" max="11263" width="12.8333333333333" style="324" customWidth="1"/>
    <col min="11264" max="11265" width="13.75" style="324" customWidth="1"/>
    <col min="11266" max="11266" width="11" style="324" customWidth="1"/>
    <col min="11267" max="11267" width="10.3333333333333" style="324" customWidth="1"/>
    <col min="11268" max="11268" width="12.8333333333333" style="324" customWidth="1"/>
    <col min="11269" max="11269" width="11.5833333333333" style="324" customWidth="1"/>
    <col min="11270" max="11270" width="9.75" style="324" customWidth="1"/>
    <col min="11271" max="11515" width="9" style="324"/>
    <col min="11516" max="11516" width="38" style="324" customWidth="1"/>
    <col min="11517" max="11517" width="13.25" style="324" customWidth="1"/>
    <col min="11518" max="11519" width="12.8333333333333" style="324" customWidth="1"/>
    <col min="11520" max="11521" width="13.75" style="324" customWidth="1"/>
    <col min="11522" max="11522" width="11" style="324" customWidth="1"/>
    <col min="11523" max="11523" width="10.3333333333333" style="324" customWidth="1"/>
    <col min="11524" max="11524" width="12.8333333333333" style="324" customWidth="1"/>
    <col min="11525" max="11525" width="11.5833333333333" style="324" customWidth="1"/>
    <col min="11526" max="11526" width="9.75" style="324" customWidth="1"/>
    <col min="11527" max="11771" width="9" style="324"/>
    <col min="11772" max="11772" width="38" style="324" customWidth="1"/>
    <col min="11773" max="11773" width="13.25" style="324" customWidth="1"/>
    <col min="11774" max="11775" width="12.8333333333333" style="324" customWidth="1"/>
    <col min="11776" max="11777" width="13.75" style="324" customWidth="1"/>
    <col min="11778" max="11778" width="11" style="324" customWidth="1"/>
    <col min="11779" max="11779" width="10.3333333333333" style="324" customWidth="1"/>
    <col min="11780" max="11780" width="12.8333333333333" style="324" customWidth="1"/>
    <col min="11781" max="11781" width="11.5833333333333" style="324" customWidth="1"/>
    <col min="11782" max="11782" width="9.75" style="324" customWidth="1"/>
    <col min="11783" max="12027" width="9" style="324"/>
    <col min="12028" max="12028" width="38" style="324" customWidth="1"/>
    <col min="12029" max="12029" width="13.25" style="324" customWidth="1"/>
    <col min="12030" max="12031" width="12.8333333333333" style="324" customWidth="1"/>
    <col min="12032" max="12033" width="13.75" style="324" customWidth="1"/>
    <col min="12034" max="12034" width="11" style="324" customWidth="1"/>
    <col min="12035" max="12035" width="10.3333333333333" style="324" customWidth="1"/>
    <col min="12036" max="12036" width="12.8333333333333" style="324" customWidth="1"/>
    <col min="12037" max="12037" width="11.5833333333333" style="324" customWidth="1"/>
    <col min="12038" max="12038" width="9.75" style="324" customWidth="1"/>
    <col min="12039" max="12283" width="9" style="324"/>
    <col min="12284" max="12284" width="38" style="324" customWidth="1"/>
    <col min="12285" max="12285" width="13.25" style="324" customWidth="1"/>
    <col min="12286" max="12287" width="12.8333333333333" style="324" customWidth="1"/>
    <col min="12288" max="12289" width="13.75" style="324" customWidth="1"/>
    <col min="12290" max="12290" width="11" style="324" customWidth="1"/>
    <col min="12291" max="12291" width="10.3333333333333" style="324" customWidth="1"/>
    <col min="12292" max="12292" width="12.8333333333333" style="324" customWidth="1"/>
    <col min="12293" max="12293" width="11.5833333333333" style="324" customWidth="1"/>
    <col min="12294" max="12294" width="9.75" style="324" customWidth="1"/>
    <col min="12295" max="12539" width="9" style="324"/>
    <col min="12540" max="12540" width="38" style="324" customWidth="1"/>
    <col min="12541" max="12541" width="13.25" style="324" customWidth="1"/>
    <col min="12542" max="12543" width="12.8333333333333" style="324" customWidth="1"/>
    <col min="12544" max="12545" width="13.75" style="324" customWidth="1"/>
    <col min="12546" max="12546" width="11" style="324" customWidth="1"/>
    <col min="12547" max="12547" width="10.3333333333333" style="324" customWidth="1"/>
    <col min="12548" max="12548" width="12.8333333333333" style="324" customWidth="1"/>
    <col min="12549" max="12549" width="11.5833333333333" style="324" customWidth="1"/>
    <col min="12550" max="12550" width="9.75" style="324" customWidth="1"/>
    <col min="12551" max="12795" width="9" style="324"/>
    <col min="12796" max="12796" width="38" style="324" customWidth="1"/>
    <col min="12797" max="12797" width="13.25" style="324" customWidth="1"/>
    <col min="12798" max="12799" width="12.8333333333333" style="324" customWidth="1"/>
    <col min="12800" max="12801" width="13.75" style="324" customWidth="1"/>
    <col min="12802" max="12802" width="11" style="324" customWidth="1"/>
    <col min="12803" max="12803" width="10.3333333333333" style="324" customWidth="1"/>
    <col min="12804" max="12804" width="12.8333333333333" style="324" customWidth="1"/>
    <col min="12805" max="12805" width="11.5833333333333" style="324" customWidth="1"/>
    <col min="12806" max="12806" width="9.75" style="324" customWidth="1"/>
    <col min="12807" max="13051" width="9" style="324"/>
    <col min="13052" max="13052" width="38" style="324" customWidth="1"/>
    <col min="13053" max="13053" width="13.25" style="324" customWidth="1"/>
    <col min="13054" max="13055" width="12.8333333333333" style="324" customWidth="1"/>
    <col min="13056" max="13057" width="13.75" style="324" customWidth="1"/>
    <col min="13058" max="13058" width="11" style="324" customWidth="1"/>
    <col min="13059" max="13059" width="10.3333333333333" style="324" customWidth="1"/>
    <col min="13060" max="13060" width="12.8333333333333" style="324" customWidth="1"/>
    <col min="13061" max="13061" width="11.5833333333333" style="324" customWidth="1"/>
    <col min="13062" max="13062" width="9.75" style="324" customWidth="1"/>
    <col min="13063" max="13307" width="9" style="324"/>
    <col min="13308" max="13308" width="38" style="324" customWidth="1"/>
    <col min="13309" max="13309" width="13.25" style="324" customWidth="1"/>
    <col min="13310" max="13311" width="12.8333333333333" style="324" customWidth="1"/>
    <col min="13312" max="13313" width="13.75" style="324" customWidth="1"/>
    <col min="13314" max="13314" width="11" style="324" customWidth="1"/>
    <col min="13315" max="13315" width="10.3333333333333" style="324" customWidth="1"/>
    <col min="13316" max="13316" width="12.8333333333333" style="324" customWidth="1"/>
    <col min="13317" max="13317" width="11.5833333333333" style="324" customWidth="1"/>
    <col min="13318" max="13318" width="9.75" style="324" customWidth="1"/>
    <col min="13319" max="13563" width="9" style="324"/>
    <col min="13564" max="13564" width="38" style="324" customWidth="1"/>
    <col min="13565" max="13565" width="13.25" style="324" customWidth="1"/>
    <col min="13566" max="13567" width="12.8333333333333" style="324" customWidth="1"/>
    <col min="13568" max="13569" width="13.75" style="324" customWidth="1"/>
    <col min="13570" max="13570" width="11" style="324" customWidth="1"/>
    <col min="13571" max="13571" width="10.3333333333333" style="324" customWidth="1"/>
    <col min="13572" max="13572" width="12.8333333333333" style="324" customWidth="1"/>
    <col min="13573" max="13573" width="11.5833333333333" style="324" customWidth="1"/>
    <col min="13574" max="13574" width="9.75" style="324" customWidth="1"/>
    <col min="13575" max="13819" width="9" style="324"/>
    <col min="13820" max="13820" width="38" style="324" customWidth="1"/>
    <col min="13821" max="13821" width="13.25" style="324" customWidth="1"/>
    <col min="13822" max="13823" width="12.8333333333333" style="324" customWidth="1"/>
    <col min="13824" max="13825" width="13.75" style="324" customWidth="1"/>
    <col min="13826" max="13826" width="11" style="324" customWidth="1"/>
    <col min="13827" max="13827" width="10.3333333333333" style="324" customWidth="1"/>
    <col min="13828" max="13828" width="12.8333333333333" style="324" customWidth="1"/>
    <col min="13829" max="13829" width="11.5833333333333" style="324" customWidth="1"/>
    <col min="13830" max="13830" width="9.75" style="324" customWidth="1"/>
    <col min="13831" max="14075" width="9" style="324"/>
    <col min="14076" max="14076" width="38" style="324" customWidth="1"/>
    <col min="14077" max="14077" width="13.25" style="324" customWidth="1"/>
    <col min="14078" max="14079" width="12.8333333333333" style="324" customWidth="1"/>
    <col min="14080" max="14081" width="13.75" style="324" customWidth="1"/>
    <col min="14082" max="14082" width="11" style="324" customWidth="1"/>
    <col min="14083" max="14083" width="10.3333333333333" style="324" customWidth="1"/>
    <col min="14084" max="14084" width="12.8333333333333" style="324" customWidth="1"/>
    <col min="14085" max="14085" width="11.5833333333333" style="324" customWidth="1"/>
    <col min="14086" max="14086" width="9.75" style="324" customWidth="1"/>
    <col min="14087" max="14331" width="9" style="324"/>
    <col min="14332" max="14332" width="38" style="324" customWidth="1"/>
    <col min="14333" max="14333" width="13.25" style="324" customWidth="1"/>
    <col min="14334" max="14335" width="12.8333333333333" style="324" customWidth="1"/>
    <col min="14336" max="14337" width="13.75" style="324" customWidth="1"/>
    <col min="14338" max="14338" width="11" style="324" customWidth="1"/>
    <col min="14339" max="14339" width="10.3333333333333" style="324" customWidth="1"/>
    <col min="14340" max="14340" width="12.8333333333333" style="324" customWidth="1"/>
    <col min="14341" max="14341" width="11.5833333333333" style="324" customWidth="1"/>
    <col min="14342" max="14342" width="9.75" style="324" customWidth="1"/>
    <col min="14343" max="14587" width="9" style="324"/>
    <col min="14588" max="14588" width="38" style="324" customWidth="1"/>
    <col min="14589" max="14589" width="13.25" style="324" customWidth="1"/>
    <col min="14590" max="14591" width="12.8333333333333" style="324" customWidth="1"/>
    <col min="14592" max="14593" width="13.75" style="324" customWidth="1"/>
    <col min="14594" max="14594" width="11" style="324" customWidth="1"/>
    <col min="14595" max="14595" width="10.3333333333333" style="324" customWidth="1"/>
    <col min="14596" max="14596" width="12.8333333333333" style="324" customWidth="1"/>
    <col min="14597" max="14597" width="11.5833333333333" style="324" customWidth="1"/>
    <col min="14598" max="14598" width="9.75" style="324" customWidth="1"/>
    <col min="14599" max="14843" width="9" style="324"/>
    <col min="14844" max="14844" width="38" style="324" customWidth="1"/>
    <col min="14845" max="14845" width="13.25" style="324" customWidth="1"/>
    <col min="14846" max="14847" width="12.8333333333333" style="324" customWidth="1"/>
    <col min="14848" max="14849" width="13.75" style="324" customWidth="1"/>
    <col min="14850" max="14850" width="11" style="324" customWidth="1"/>
    <col min="14851" max="14851" width="10.3333333333333" style="324" customWidth="1"/>
    <col min="14852" max="14852" width="12.8333333333333" style="324" customWidth="1"/>
    <col min="14853" max="14853" width="11.5833333333333" style="324" customWidth="1"/>
    <col min="14854" max="14854" width="9.75" style="324" customWidth="1"/>
    <col min="14855" max="15099" width="9" style="324"/>
    <col min="15100" max="15100" width="38" style="324" customWidth="1"/>
    <col min="15101" max="15101" width="13.25" style="324" customWidth="1"/>
    <col min="15102" max="15103" width="12.8333333333333" style="324" customWidth="1"/>
    <col min="15104" max="15105" width="13.75" style="324" customWidth="1"/>
    <col min="15106" max="15106" width="11" style="324" customWidth="1"/>
    <col min="15107" max="15107" width="10.3333333333333" style="324" customWidth="1"/>
    <col min="15108" max="15108" width="12.8333333333333" style="324" customWidth="1"/>
    <col min="15109" max="15109" width="11.5833333333333" style="324" customWidth="1"/>
    <col min="15110" max="15110" width="9.75" style="324" customWidth="1"/>
    <col min="15111" max="15355" width="9" style="324"/>
    <col min="15356" max="15356" width="38" style="324" customWidth="1"/>
    <col min="15357" max="15357" width="13.25" style="324" customWidth="1"/>
    <col min="15358" max="15359" width="12.8333333333333" style="324" customWidth="1"/>
    <col min="15360" max="15361" width="13.75" style="324" customWidth="1"/>
    <col min="15362" max="15362" width="11" style="324" customWidth="1"/>
    <col min="15363" max="15363" width="10.3333333333333" style="324" customWidth="1"/>
    <col min="15364" max="15364" width="12.8333333333333" style="324" customWidth="1"/>
    <col min="15365" max="15365" width="11.5833333333333" style="324" customWidth="1"/>
    <col min="15366" max="15366" width="9.75" style="324" customWidth="1"/>
    <col min="15367" max="15611" width="9" style="324"/>
    <col min="15612" max="15612" width="38" style="324" customWidth="1"/>
    <col min="15613" max="15613" width="13.25" style="324" customWidth="1"/>
    <col min="15614" max="15615" width="12.8333333333333" style="324" customWidth="1"/>
    <col min="15616" max="15617" width="13.75" style="324" customWidth="1"/>
    <col min="15618" max="15618" width="11" style="324" customWidth="1"/>
    <col min="15619" max="15619" width="10.3333333333333" style="324" customWidth="1"/>
    <col min="15620" max="15620" width="12.8333333333333" style="324" customWidth="1"/>
    <col min="15621" max="15621" width="11.5833333333333" style="324" customWidth="1"/>
    <col min="15622" max="15622" width="9.75" style="324" customWidth="1"/>
    <col min="15623" max="15867" width="9" style="324"/>
    <col min="15868" max="15868" width="38" style="324" customWidth="1"/>
    <col min="15869" max="15869" width="13.25" style="324" customWidth="1"/>
    <col min="15870" max="15871" width="12.8333333333333" style="324" customWidth="1"/>
    <col min="15872" max="15873" width="13.75" style="324" customWidth="1"/>
    <col min="15874" max="15874" width="11" style="324" customWidth="1"/>
    <col min="15875" max="15875" width="10.3333333333333" style="324" customWidth="1"/>
    <col min="15876" max="15876" width="12.8333333333333" style="324" customWidth="1"/>
    <col min="15877" max="15877" width="11.5833333333333" style="324" customWidth="1"/>
    <col min="15878" max="15878" width="9.75" style="324" customWidth="1"/>
    <col min="15879" max="16123" width="9" style="324"/>
    <col min="16124" max="16124" width="38" style="324" customWidth="1"/>
    <col min="16125" max="16125" width="13.25" style="324" customWidth="1"/>
    <col min="16126" max="16127" width="12.8333333333333" style="324" customWidth="1"/>
    <col min="16128" max="16129" width="13.75" style="324" customWidth="1"/>
    <col min="16130" max="16130" width="11" style="324" customWidth="1"/>
    <col min="16131" max="16131" width="10.3333333333333" style="324" customWidth="1"/>
    <col min="16132" max="16132" width="12.8333333333333" style="324" customWidth="1"/>
    <col min="16133" max="16133" width="11.5833333333333" style="324" customWidth="1"/>
    <col min="16134" max="16134" width="9.75" style="324" customWidth="1"/>
    <col min="16135" max="16384" width="9" style="324"/>
  </cols>
  <sheetData>
    <row r="1" ht="20.25" spans="1:1">
      <c r="A1" s="333" t="s">
        <v>147</v>
      </c>
    </row>
    <row r="2" ht="25.5" customHeight="1" spans="1:10">
      <c r="A2" s="335" t="s">
        <v>148</v>
      </c>
      <c r="B2" s="335"/>
      <c r="C2" s="335"/>
      <c r="D2" s="335"/>
      <c r="E2" s="335"/>
      <c r="F2" s="335"/>
      <c r="G2" s="335"/>
      <c r="H2" s="335"/>
      <c r="I2" s="335"/>
      <c r="J2" s="335"/>
    </row>
    <row r="3" ht="25.5" customHeight="1" spans="1:10">
      <c r="A3" s="401"/>
      <c r="B3" s="402"/>
      <c r="C3" s="403"/>
      <c r="D3" s="403"/>
      <c r="E3" s="403"/>
      <c r="F3" s="403"/>
      <c r="H3" s="324"/>
      <c r="I3" s="427" t="s">
        <v>33</v>
      </c>
      <c r="J3" s="427"/>
    </row>
    <row r="4" s="399" customFormat="1" ht="18.75" customHeight="1" spans="1:10">
      <c r="A4" s="404" t="s">
        <v>34</v>
      </c>
      <c r="B4" s="405" t="s">
        <v>35</v>
      </c>
      <c r="C4" s="406"/>
      <c r="D4" s="406"/>
      <c r="E4" s="406"/>
      <c r="F4" s="406"/>
      <c r="G4" s="423"/>
      <c r="H4" s="405" t="s">
        <v>36</v>
      </c>
      <c r="I4" s="406"/>
      <c r="J4" s="423"/>
    </row>
    <row r="5" s="399" customFormat="1" ht="18.75" customHeight="1" spans="1:10">
      <c r="A5" s="407"/>
      <c r="B5" s="404" t="s">
        <v>37</v>
      </c>
      <c r="C5" s="408" t="s">
        <v>38</v>
      </c>
      <c r="D5" s="409" t="s">
        <v>39</v>
      </c>
      <c r="E5" s="408" t="s">
        <v>40</v>
      </c>
      <c r="F5" s="405" t="s">
        <v>41</v>
      </c>
      <c r="G5" s="423"/>
      <c r="H5" s="408" t="s">
        <v>42</v>
      </c>
      <c r="I5" s="405" t="s">
        <v>43</v>
      </c>
      <c r="J5" s="423"/>
    </row>
    <row r="6" s="399" customFormat="1" ht="18.75" customHeight="1" spans="1:10">
      <c r="A6" s="410"/>
      <c r="B6" s="410"/>
      <c r="C6" s="411"/>
      <c r="D6" s="412"/>
      <c r="E6" s="411"/>
      <c r="F6" s="424" t="s">
        <v>44</v>
      </c>
      <c r="G6" s="425" t="s">
        <v>45</v>
      </c>
      <c r="H6" s="411"/>
      <c r="I6" s="424" t="s">
        <v>44</v>
      </c>
      <c r="J6" s="425" t="s">
        <v>45</v>
      </c>
    </row>
    <row r="7" s="324" customFormat="1" ht="18" customHeight="1" spans="1:10">
      <c r="A7" s="413" t="s">
        <v>46</v>
      </c>
      <c r="B7" s="345">
        <f>SUM(B8:B21)</f>
        <v>137005</v>
      </c>
      <c r="C7" s="345">
        <f t="shared" ref="C7:H7" si="0">SUM(C8:C21)</f>
        <v>151877</v>
      </c>
      <c r="D7" s="414">
        <f t="shared" ref="D7:D31" si="1">C7/B7*100</f>
        <v>110.855078281815</v>
      </c>
      <c r="E7" s="345">
        <f t="shared" si="0"/>
        <v>132004</v>
      </c>
      <c r="F7" s="345">
        <f t="shared" ref="F7:F31" si="2">C7-E7</f>
        <v>19873</v>
      </c>
      <c r="G7" s="346">
        <f t="shared" ref="G7:G31" si="3">F7/E7*100</f>
        <v>15.0548468228236</v>
      </c>
      <c r="H7" s="345">
        <f t="shared" si="0"/>
        <v>165065</v>
      </c>
      <c r="I7" s="345">
        <f t="shared" ref="I7:I31" si="4">H7-C7</f>
        <v>13188</v>
      </c>
      <c r="J7" s="414">
        <f t="shared" ref="J7:J25" si="5">I7/C7*100</f>
        <v>8.68334244158101</v>
      </c>
    </row>
    <row r="8" ht="18" customHeight="1" spans="1:10">
      <c r="A8" s="413" t="s">
        <v>47</v>
      </c>
      <c r="B8" s="348">
        <v>39840</v>
      </c>
      <c r="C8" s="348">
        <v>56991</v>
      </c>
      <c r="D8" s="415">
        <f t="shared" si="1"/>
        <v>143.049698795181</v>
      </c>
      <c r="E8" s="348">
        <v>37007</v>
      </c>
      <c r="F8" s="348">
        <f t="shared" si="2"/>
        <v>19984</v>
      </c>
      <c r="G8" s="415">
        <f t="shared" si="3"/>
        <v>54.000594482125</v>
      </c>
      <c r="H8" s="348">
        <f>61640+200</f>
        <v>61840</v>
      </c>
      <c r="I8" s="348">
        <f t="shared" si="4"/>
        <v>4849</v>
      </c>
      <c r="J8" s="415">
        <f t="shared" si="5"/>
        <v>8.50836096927585</v>
      </c>
    </row>
    <row r="9" ht="18" customHeight="1" spans="1:10">
      <c r="A9" s="413" t="s">
        <v>48</v>
      </c>
      <c r="B9" s="348">
        <v>18754</v>
      </c>
      <c r="C9" s="348">
        <v>18373</v>
      </c>
      <c r="D9" s="415">
        <f t="shared" si="1"/>
        <v>97.9684334008745</v>
      </c>
      <c r="E9" s="348">
        <v>17298</v>
      </c>
      <c r="F9" s="348">
        <f t="shared" si="2"/>
        <v>1075</v>
      </c>
      <c r="G9" s="415">
        <f t="shared" si="3"/>
        <v>6.21459128222916</v>
      </c>
      <c r="H9" s="348">
        <v>19650</v>
      </c>
      <c r="I9" s="348">
        <f t="shared" si="4"/>
        <v>1277</v>
      </c>
      <c r="J9" s="415">
        <f t="shared" si="5"/>
        <v>6.95041637185</v>
      </c>
    </row>
    <row r="10" ht="18" customHeight="1" spans="1:10">
      <c r="A10" s="413" t="s">
        <v>49</v>
      </c>
      <c r="B10" s="348">
        <v>4892</v>
      </c>
      <c r="C10" s="348">
        <v>5322</v>
      </c>
      <c r="D10" s="415">
        <f t="shared" si="1"/>
        <v>108.789860997547</v>
      </c>
      <c r="E10" s="348">
        <v>4897</v>
      </c>
      <c r="F10" s="348">
        <f t="shared" si="2"/>
        <v>425</v>
      </c>
      <c r="G10" s="415">
        <f t="shared" si="3"/>
        <v>8.67878292832346</v>
      </c>
      <c r="H10" s="348">
        <v>5700</v>
      </c>
      <c r="I10" s="348">
        <f t="shared" si="4"/>
        <v>378</v>
      </c>
      <c r="J10" s="415">
        <f t="shared" si="5"/>
        <v>7.10259301014656</v>
      </c>
    </row>
    <row r="11" ht="18" customHeight="1" spans="1:10">
      <c r="A11" s="413" t="s">
        <v>50</v>
      </c>
      <c r="B11" s="348">
        <v>3</v>
      </c>
      <c r="C11" s="348">
        <v>324</v>
      </c>
      <c r="D11" s="415">
        <f t="shared" si="1"/>
        <v>10800</v>
      </c>
      <c r="E11" s="348">
        <v>3</v>
      </c>
      <c r="F11" s="348">
        <f t="shared" si="2"/>
        <v>321</v>
      </c>
      <c r="G11" s="415">
        <f t="shared" si="3"/>
        <v>10700</v>
      </c>
      <c r="H11" s="348">
        <v>350</v>
      </c>
      <c r="I11" s="348">
        <f t="shared" si="4"/>
        <v>26</v>
      </c>
      <c r="J11" s="415">
        <f t="shared" si="5"/>
        <v>8.02469135802469</v>
      </c>
    </row>
    <row r="12" ht="18" customHeight="1" spans="1:10">
      <c r="A12" s="413" t="s">
        <v>51</v>
      </c>
      <c r="B12" s="348">
        <v>13614</v>
      </c>
      <c r="C12" s="348">
        <v>20186</v>
      </c>
      <c r="D12" s="415">
        <f t="shared" si="1"/>
        <v>148.273835757309</v>
      </c>
      <c r="E12" s="348">
        <v>13278</v>
      </c>
      <c r="F12" s="348">
        <f t="shared" si="2"/>
        <v>6908</v>
      </c>
      <c r="G12" s="415">
        <f t="shared" si="3"/>
        <v>52.0259075161922</v>
      </c>
      <c r="H12" s="348">
        <v>22200</v>
      </c>
      <c r="I12" s="348">
        <f t="shared" si="4"/>
        <v>2014</v>
      </c>
      <c r="J12" s="415">
        <f t="shared" si="5"/>
        <v>9.97721192905974</v>
      </c>
    </row>
    <row r="13" ht="18" customHeight="1" spans="1:10">
      <c r="A13" s="413" t="s">
        <v>52</v>
      </c>
      <c r="B13" s="348">
        <v>8242</v>
      </c>
      <c r="C13" s="348">
        <v>6993</v>
      </c>
      <c r="D13" s="415">
        <f t="shared" si="1"/>
        <v>84.8459111866052</v>
      </c>
      <c r="E13" s="348">
        <v>7861</v>
      </c>
      <c r="F13" s="348">
        <f t="shared" si="2"/>
        <v>-868</v>
      </c>
      <c r="G13" s="415">
        <f t="shared" si="3"/>
        <v>-11.0418521816563</v>
      </c>
      <c r="H13" s="348">
        <v>6800</v>
      </c>
      <c r="I13" s="348">
        <f t="shared" si="4"/>
        <v>-193</v>
      </c>
      <c r="J13" s="415">
        <f t="shared" si="5"/>
        <v>-2.75990275990276</v>
      </c>
    </row>
    <row r="14" ht="18" customHeight="1" spans="1:10">
      <c r="A14" s="413" t="s">
        <v>53</v>
      </c>
      <c r="B14" s="348">
        <v>6022</v>
      </c>
      <c r="C14" s="348">
        <v>6644</v>
      </c>
      <c r="D14" s="415">
        <f t="shared" si="1"/>
        <v>110.328794420458</v>
      </c>
      <c r="E14" s="348">
        <v>6029</v>
      </c>
      <c r="F14" s="348">
        <f t="shared" si="2"/>
        <v>615</v>
      </c>
      <c r="G14" s="415">
        <f t="shared" si="3"/>
        <v>10.2006966329408</v>
      </c>
      <c r="H14" s="348">
        <v>7200</v>
      </c>
      <c r="I14" s="348">
        <f t="shared" si="4"/>
        <v>556</v>
      </c>
      <c r="J14" s="415">
        <f t="shared" si="5"/>
        <v>8.36845273931367</v>
      </c>
    </row>
    <row r="15" ht="18" customHeight="1" spans="1:10">
      <c r="A15" s="413" t="s">
        <v>54</v>
      </c>
      <c r="B15" s="348">
        <v>2465</v>
      </c>
      <c r="C15" s="348">
        <v>2820</v>
      </c>
      <c r="D15" s="415">
        <f t="shared" si="1"/>
        <v>114.401622718053</v>
      </c>
      <c r="E15" s="348">
        <v>2791</v>
      </c>
      <c r="F15" s="348">
        <f t="shared" si="2"/>
        <v>29</v>
      </c>
      <c r="G15" s="415">
        <f t="shared" si="3"/>
        <v>1.03905410247223</v>
      </c>
      <c r="H15" s="348">
        <v>2700</v>
      </c>
      <c r="I15" s="348">
        <f t="shared" si="4"/>
        <v>-120</v>
      </c>
      <c r="J15" s="415">
        <f t="shared" si="5"/>
        <v>-4.25531914893617</v>
      </c>
    </row>
    <row r="16" ht="18" customHeight="1" spans="1:10">
      <c r="A16" s="413" t="s">
        <v>55</v>
      </c>
      <c r="B16" s="348">
        <v>12824</v>
      </c>
      <c r="C16" s="348">
        <v>5853</v>
      </c>
      <c r="D16" s="415">
        <f t="shared" si="1"/>
        <v>45.6409856519027</v>
      </c>
      <c r="E16" s="348">
        <v>13507</v>
      </c>
      <c r="F16" s="348">
        <f t="shared" si="2"/>
        <v>-7654</v>
      </c>
      <c r="G16" s="415">
        <f t="shared" si="3"/>
        <v>-56.666913452284</v>
      </c>
      <c r="H16" s="348">
        <v>8000</v>
      </c>
      <c r="I16" s="348">
        <f t="shared" si="4"/>
        <v>2147</v>
      </c>
      <c r="J16" s="415">
        <f t="shared" si="5"/>
        <v>36.6820433965488</v>
      </c>
    </row>
    <row r="17" ht="18" customHeight="1" spans="1:10">
      <c r="A17" s="413" t="s">
        <v>56</v>
      </c>
      <c r="B17" s="348">
        <v>3991</v>
      </c>
      <c r="C17" s="348">
        <v>12324</v>
      </c>
      <c r="D17" s="415">
        <f t="shared" si="1"/>
        <v>308.794788273616</v>
      </c>
      <c r="E17" s="348">
        <v>4110</v>
      </c>
      <c r="F17" s="348">
        <f t="shared" si="2"/>
        <v>8214</v>
      </c>
      <c r="G17" s="415">
        <f t="shared" si="3"/>
        <v>199.85401459854</v>
      </c>
      <c r="H17" s="348">
        <v>13400</v>
      </c>
      <c r="I17" s="348">
        <f t="shared" si="4"/>
        <v>1076</v>
      </c>
      <c r="J17" s="415">
        <f t="shared" si="5"/>
        <v>8.73093151574164</v>
      </c>
    </row>
    <row r="18" ht="18" customHeight="1" spans="1:10">
      <c r="A18" s="413" t="s">
        <v>57</v>
      </c>
      <c r="B18" s="348">
        <v>308</v>
      </c>
      <c r="C18" s="348">
        <v>1550</v>
      </c>
      <c r="D18" s="415">
        <f t="shared" si="1"/>
        <v>503.246753246753</v>
      </c>
      <c r="E18" s="348">
        <v>405</v>
      </c>
      <c r="F18" s="348">
        <f t="shared" si="2"/>
        <v>1145</v>
      </c>
      <c r="G18" s="415">
        <f t="shared" si="3"/>
        <v>282.716049382716</v>
      </c>
      <c r="H18" s="348"/>
      <c r="I18" s="348">
        <f t="shared" si="4"/>
        <v>-1550</v>
      </c>
      <c r="J18" s="415">
        <f t="shared" si="5"/>
        <v>-100</v>
      </c>
    </row>
    <row r="19" ht="18" customHeight="1" spans="1:10">
      <c r="A19" s="413" t="s">
        <v>58</v>
      </c>
      <c r="B19" s="348">
        <v>25893</v>
      </c>
      <c r="C19" s="348">
        <v>14289</v>
      </c>
      <c r="D19" s="415">
        <f t="shared" si="1"/>
        <v>55.1847989804194</v>
      </c>
      <c r="E19" s="348">
        <v>24686</v>
      </c>
      <c r="F19" s="348">
        <f t="shared" si="2"/>
        <v>-10397</v>
      </c>
      <c r="G19" s="415">
        <f t="shared" si="3"/>
        <v>-42.1169893866969</v>
      </c>
      <c r="H19" s="348">
        <v>17000</v>
      </c>
      <c r="I19" s="348">
        <f t="shared" si="4"/>
        <v>2711</v>
      </c>
      <c r="J19" s="415">
        <f t="shared" si="5"/>
        <v>18.9726362936525</v>
      </c>
    </row>
    <row r="20" ht="18" customHeight="1" spans="1:10">
      <c r="A20" s="413" t="s">
        <v>59</v>
      </c>
      <c r="B20" s="348">
        <v>157</v>
      </c>
      <c r="C20" s="348">
        <v>200</v>
      </c>
      <c r="D20" s="415">
        <f t="shared" si="1"/>
        <v>127.388535031847</v>
      </c>
      <c r="E20" s="348">
        <v>132</v>
      </c>
      <c r="F20" s="348">
        <f t="shared" si="2"/>
        <v>68</v>
      </c>
      <c r="G20" s="415">
        <f t="shared" si="3"/>
        <v>51.5151515151515</v>
      </c>
      <c r="H20" s="348">
        <v>225</v>
      </c>
      <c r="I20" s="348">
        <f t="shared" si="4"/>
        <v>25</v>
      </c>
      <c r="J20" s="415">
        <f t="shared" si="5"/>
        <v>12.5</v>
      </c>
    </row>
    <row r="21" ht="18" customHeight="1" spans="1:10">
      <c r="A21" s="413" t="s">
        <v>60</v>
      </c>
      <c r="B21" s="348"/>
      <c r="C21" s="348">
        <v>8</v>
      </c>
      <c r="D21" s="415"/>
      <c r="E21" s="348"/>
      <c r="F21" s="348">
        <f t="shared" si="2"/>
        <v>8</v>
      </c>
      <c r="G21" s="415"/>
      <c r="H21" s="348"/>
      <c r="I21" s="348">
        <f t="shared" si="4"/>
        <v>-8</v>
      </c>
      <c r="J21" s="415">
        <f t="shared" si="5"/>
        <v>-100</v>
      </c>
    </row>
    <row r="22" s="324" customFormat="1" ht="18" customHeight="1" spans="1:10">
      <c r="A22" s="413" t="s">
        <v>61</v>
      </c>
      <c r="B22" s="345">
        <f>SUM(B23:B30)</f>
        <v>215198</v>
      </c>
      <c r="C22" s="345">
        <f t="shared" ref="C22:H22" si="6">SUM(C23:C30)</f>
        <v>194256</v>
      </c>
      <c r="D22" s="414">
        <f t="shared" si="1"/>
        <v>90.2684969191163</v>
      </c>
      <c r="E22" s="345">
        <f t="shared" si="6"/>
        <v>202356</v>
      </c>
      <c r="F22" s="345">
        <f t="shared" si="2"/>
        <v>-8100</v>
      </c>
      <c r="G22" s="346">
        <f t="shared" si="3"/>
        <v>-4.00284646859989</v>
      </c>
      <c r="H22" s="345">
        <f t="shared" si="6"/>
        <v>197120</v>
      </c>
      <c r="I22" s="345">
        <f t="shared" si="4"/>
        <v>2864</v>
      </c>
      <c r="J22" s="414">
        <f t="shared" si="5"/>
        <v>1.47434313483239</v>
      </c>
    </row>
    <row r="23" ht="18" customHeight="1" spans="1:10">
      <c r="A23" s="413" t="s">
        <v>62</v>
      </c>
      <c r="B23" s="348">
        <v>14397</v>
      </c>
      <c r="C23" s="348">
        <v>14085</v>
      </c>
      <c r="D23" s="415">
        <f t="shared" si="1"/>
        <v>97.8328818503855</v>
      </c>
      <c r="E23" s="426">
        <v>13455</v>
      </c>
      <c r="F23" s="348">
        <f t="shared" si="2"/>
        <v>630</v>
      </c>
      <c r="G23" s="415">
        <f t="shared" si="3"/>
        <v>4.68227424749164</v>
      </c>
      <c r="H23" s="348">
        <v>14000</v>
      </c>
      <c r="I23" s="348">
        <f t="shared" si="4"/>
        <v>-85</v>
      </c>
      <c r="J23" s="415">
        <f t="shared" si="5"/>
        <v>-0.603478878239262</v>
      </c>
    </row>
    <row r="24" ht="18" customHeight="1" spans="1:10">
      <c r="A24" s="413" t="s">
        <v>63</v>
      </c>
      <c r="B24" s="348">
        <v>24401</v>
      </c>
      <c r="C24" s="348">
        <v>23758</v>
      </c>
      <c r="D24" s="415">
        <f t="shared" si="1"/>
        <v>97.3648620958157</v>
      </c>
      <c r="E24" s="426">
        <v>22679</v>
      </c>
      <c r="F24" s="348">
        <f t="shared" si="2"/>
        <v>1079</v>
      </c>
      <c r="G24" s="415">
        <f t="shared" si="3"/>
        <v>4.7577053661978</v>
      </c>
      <c r="H24" s="348">
        <v>24300</v>
      </c>
      <c r="I24" s="348">
        <f t="shared" si="4"/>
        <v>542</v>
      </c>
      <c r="J24" s="415">
        <f t="shared" si="5"/>
        <v>2.28133681286304</v>
      </c>
    </row>
    <row r="25" ht="18" customHeight="1" spans="1:10">
      <c r="A25" s="413" t="s">
        <v>64</v>
      </c>
      <c r="B25" s="348">
        <v>28899</v>
      </c>
      <c r="C25" s="348">
        <v>31455</v>
      </c>
      <c r="D25" s="415">
        <f t="shared" si="1"/>
        <v>108.844596698848</v>
      </c>
      <c r="E25" s="426">
        <v>28929</v>
      </c>
      <c r="F25" s="348">
        <f t="shared" si="2"/>
        <v>2526</v>
      </c>
      <c r="G25" s="415">
        <f t="shared" si="3"/>
        <v>8.7317224930001</v>
      </c>
      <c r="H25" s="348">
        <v>33500</v>
      </c>
      <c r="I25" s="348">
        <f t="shared" si="4"/>
        <v>2045</v>
      </c>
      <c r="J25" s="415">
        <f t="shared" si="5"/>
        <v>6.50135113654427</v>
      </c>
    </row>
    <row r="26" ht="18" customHeight="1" spans="1:10">
      <c r="A26" s="413" t="s">
        <v>65</v>
      </c>
      <c r="B26" s="348"/>
      <c r="C26" s="348"/>
      <c r="D26" s="415"/>
      <c r="E26" s="426"/>
      <c r="F26" s="348"/>
      <c r="G26" s="415"/>
      <c r="H26" s="348"/>
      <c r="I26" s="348">
        <f t="shared" si="4"/>
        <v>0</v>
      </c>
      <c r="J26" s="415"/>
    </row>
    <row r="27" ht="18" customHeight="1" spans="1:10">
      <c r="A27" s="413" t="s">
        <v>66</v>
      </c>
      <c r="B27" s="348">
        <v>114587</v>
      </c>
      <c r="C27" s="348">
        <v>44261</v>
      </c>
      <c r="D27" s="415">
        <f t="shared" si="1"/>
        <v>38.6265457687172</v>
      </c>
      <c r="E27" s="426">
        <v>104514</v>
      </c>
      <c r="F27" s="348">
        <f t="shared" si="2"/>
        <v>-60253</v>
      </c>
      <c r="G27" s="415">
        <f t="shared" si="3"/>
        <v>-57.6506496737279</v>
      </c>
      <c r="H27" s="348">
        <f>113500-2800-200</f>
        <v>110500</v>
      </c>
      <c r="I27" s="348">
        <f t="shared" si="4"/>
        <v>66239</v>
      </c>
      <c r="J27" s="415">
        <f t="shared" ref="J27:J31" si="7">I27/C27*100</f>
        <v>149.65545288177</v>
      </c>
    </row>
    <row r="28" ht="18" customHeight="1" spans="1:10">
      <c r="A28" s="413" t="s">
        <v>67</v>
      </c>
      <c r="B28" s="348"/>
      <c r="C28" s="348">
        <v>1</v>
      </c>
      <c r="D28" s="415"/>
      <c r="E28" s="426">
        <v>15</v>
      </c>
      <c r="F28" s="348">
        <f t="shared" si="2"/>
        <v>-14</v>
      </c>
      <c r="G28" s="415">
        <f t="shared" si="3"/>
        <v>-93.3333333333333</v>
      </c>
      <c r="H28" s="348"/>
      <c r="I28" s="348">
        <f t="shared" si="4"/>
        <v>-1</v>
      </c>
      <c r="J28" s="415">
        <f t="shared" si="7"/>
        <v>-100</v>
      </c>
    </row>
    <row r="29" ht="18" customHeight="1" spans="1:10">
      <c r="A29" s="416" t="s">
        <v>68</v>
      </c>
      <c r="B29" s="348">
        <v>29959</v>
      </c>
      <c r="C29" s="348">
        <v>14001</v>
      </c>
      <c r="D29" s="415">
        <f t="shared" si="1"/>
        <v>46.7338696218165</v>
      </c>
      <c r="E29" s="426">
        <v>29843</v>
      </c>
      <c r="F29" s="348">
        <f t="shared" si="2"/>
        <v>-15842</v>
      </c>
      <c r="G29" s="415">
        <f t="shared" si="3"/>
        <v>-53.0844754213718</v>
      </c>
      <c r="H29" s="348">
        <v>14320</v>
      </c>
      <c r="I29" s="348">
        <f t="shared" si="4"/>
        <v>319</v>
      </c>
      <c r="J29" s="415">
        <f t="shared" si="7"/>
        <v>2.27840868509392</v>
      </c>
    </row>
    <row r="30" ht="18" customHeight="1" spans="1:10">
      <c r="A30" s="413" t="s">
        <v>69</v>
      </c>
      <c r="B30" s="348">
        <v>2955</v>
      </c>
      <c r="C30" s="348">
        <v>66695</v>
      </c>
      <c r="D30" s="415">
        <f t="shared" si="1"/>
        <v>2257.02199661591</v>
      </c>
      <c r="E30" s="426">
        <v>2921</v>
      </c>
      <c r="F30" s="348">
        <f t="shared" si="2"/>
        <v>63774</v>
      </c>
      <c r="G30" s="415">
        <f t="shared" si="3"/>
        <v>2183.29339267374</v>
      </c>
      <c r="H30" s="348">
        <v>500</v>
      </c>
      <c r="I30" s="348">
        <f t="shared" si="4"/>
        <v>-66195</v>
      </c>
      <c r="J30" s="415">
        <f t="shared" si="7"/>
        <v>-99.2503186145888</v>
      </c>
    </row>
    <row r="31" ht="18" customHeight="1" spans="1:10">
      <c r="A31" s="417" t="s">
        <v>70</v>
      </c>
      <c r="B31" s="345">
        <f>B22+B7</f>
        <v>352203</v>
      </c>
      <c r="C31" s="345">
        <f t="shared" ref="C31:H31" si="8">C22+C7</f>
        <v>346133</v>
      </c>
      <c r="D31" s="414">
        <f t="shared" si="1"/>
        <v>98.2765620962911</v>
      </c>
      <c r="E31" s="345">
        <f t="shared" si="8"/>
        <v>334360</v>
      </c>
      <c r="F31" s="345">
        <f t="shared" si="2"/>
        <v>11773</v>
      </c>
      <c r="G31" s="414">
        <f t="shared" si="3"/>
        <v>3.52105515013758</v>
      </c>
      <c r="H31" s="345">
        <f t="shared" si="8"/>
        <v>362185</v>
      </c>
      <c r="I31" s="345">
        <f t="shared" si="4"/>
        <v>16052</v>
      </c>
      <c r="J31" s="414">
        <f t="shared" si="7"/>
        <v>4.63752372642886</v>
      </c>
    </row>
    <row r="32" ht="18" customHeight="1" spans="1:10">
      <c r="A32" s="418" t="s">
        <v>71</v>
      </c>
      <c r="B32" s="345">
        <f>B33+B100+B101+B102+B106+B99+B107</f>
        <v>950838</v>
      </c>
      <c r="C32" s="345">
        <f>C33+C100+C101+C102+C106+C99+C107</f>
        <v>989406.6268</v>
      </c>
      <c r="D32" s="348"/>
      <c r="E32" s="348"/>
      <c r="F32" s="348"/>
      <c r="G32" s="348"/>
      <c r="H32" s="345">
        <f>H33+H100+H101+H102+H106+H99+H107</f>
        <v>710618.399074</v>
      </c>
      <c r="I32" s="348"/>
      <c r="J32" s="348"/>
    </row>
    <row r="33" ht="18" customHeight="1" spans="1:10">
      <c r="A33" s="419" t="s">
        <v>72</v>
      </c>
      <c r="B33" s="348">
        <f>B34+B41+B77</f>
        <v>639776</v>
      </c>
      <c r="C33" s="348">
        <f>C34+C41+C77</f>
        <v>661534</v>
      </c>
      <c r="D33" s="348"/>
      <c r="E33" s="348"/>
      <c r="F33" s="348"/>
      <c r="G33" s="348"/>
      <c r="H33" s="348">
        <f>H34+H41+H77</f>
        <v>480171.8975</v>
      </c>
      <c r="I33" s="348"/>
      <c r="J33" s="348"/>
    </row>
    <row r="34" ht="18" customHeight="1" spans="1:10">
      <c r="A34" s="419" t="s">
        <v>73</v>
      </c>
      <c r="B34" s="348">
        <f>SUM(B35:B40)</f>
        <v>35797</v>
      </c>
      <c r="C34" s="348">
        <f>SUM(C35:C40)</f>
        <v>35797</v>
      </c>
      <c r="D34" s="348"/>
      <c r="E34" s="348"/>
      <c r="F34" s="348"/>
      <c r="G34" s="348"/>
      <c r="H34" s="348">
        <f>SUM(H35:H40)</f>
        <v>35797</v>
      </c>
      <c r="I34" s="348"/>
      <c r="J34" s="348"/>
    </row>
    <row r="35" ht="18" customHeight="1" spans="1:10">
      <c r="A35" s="420" t="s">
        <v>74</v>
      </c>
      <c r="B35" s="348">
        <v>5503</v>
      </c>
      <c r="C35" s="348">
        <v>5503</v>
      </c>
      <c r="D35" s="348"/>
      <c r="E35" s="348"/>
      <c r="F35" s="348"/>
      <c r="G35" s="348"/>
      <c r="H35" s="348">
        <v>5503</v>
      </c>
      <c r="I35" s="348"/>
      <c r="J35" s="348"/>
    </row>
    <row r="36" ht="18" customHeight="1" spans="1:10">
      <c r="A36" s="420" t="s">
        <v>75</v>
      </c>
      <c r="B36" s="348">
        <v>5450</v>
      </c>
      <c r="C36" s="348">
        <v>5450</v>
      </c>
      <c r="D36" s="348"/>
      <c r="E36" s="348"/>
      <c r="F36" s="348"/>
      <c r="G36" s="348"/>
      <c r="H36" s="348">
        <v>5450</v>
      </c>
      <c r="I36" s="348"/>
      <c r="J36" s="348"/>
    </row>
    <row r="37" ht="18" customHeight="1" spans="1:10">
      <c r="A37" s="420" t="s">
        <v>76</v>
      </c>
      <c r="B37" s="348">
        <v>16219</v>
      </c>
      <c r="C37" s="348">
        <v>16219</v>
      </c>
      <c r="D37" s="348"/>
      <c r="E37" s="348"/>
      <c r="F37" s="348"/>
      <c r="G37" s="348"/>
      <c r="H37" s="348">
        <v>16219</v>
      </c>
      <c r="I37" s="348"/>
      <c r="J37" s="348"/>
    </row>
    <row r="38" ht="18" customHeight="1" spans="1:10">
      <c r="A38" s="420" t="s">
        <v>77</v>
      </c>
      <c r="B38" s="348">
        <v>3371</v>
      </c>
      <c r="C38" s="348">
        <v>3371</v>
      </c>
      <c r="D38" s="348"/>
      <c r="E38" s="348"/>
      <c r="F38" s="348"/>
      <c r="G38" s="348"/>
      <c r="H38" s="348">
        <v>3371</v>
      </c>
      <c r="I38" s="348"/>
      <c r="J38" s="348"/>
    </row>
    <row r="39" ht="18" customHeight="1" spans="1:10">
      <c r="A39" s="420" t="s">
        <v>78</v>
      </c>
      <c r="B39" s="348">
        <v>-5064</v>
      </c>
      <c r="C39" s="348">
        <v>-5064</v>
      </c>
      <c r="D39" s="348"/>
      <c r="E39" s="348"/>
      <c r="F39" s="348"/>
      <c r="G39" s="348"/>
      <c r="H39" s="348">
        <v>-5064</v>
      </c>
      <c r="I39" s="348"/>
      <c r="J39" s="348"/>
    </row>
    <row r="40" ht="18" customHeight="1" spans="1:10">
      <c r="A40" s="420" t="s">
        <v>79</v>
      </c>
      <c r="B40" s="348">
        <v>10318</v>
      </c>
      <c r="C40" s="348">
        <v>10318</v>
      </c>
      <c r="D40" s="348"/>
      <c r="E40" s="348"/>
      <c r="F40" s="348"/>
      <c r="G40" s="348"/>
      <c r="H40" s="348">
        <v>10318</v>
      </c>
      <c r="I40" s="348"/>
      <c r="J40" s="348"/>
    </row>
    <row r="41" ht="18" customHeight="1" spans="1:10">
      <c r="A41" s="420" t="s">
        <v>80</v>
      </c>
      <c r="B41" s="348">
        <f>SUM(B42:B76)</f>
        <v>482613</v>
      </c>
      <c r="C41" s="348">
        <f>SUM(C42:C76)</f>
        <v>531076</v>
      </c>
      <c r="D41" s="348"/>
      <c r="E41" s="348"/>
      <c r="F41" s="348"/>
      <c r="G41" s="348"/>
      <c r="H41" s="348">
        <f>SUM(H42:H76)</f>
        <v>434300.8975</v>
      </c>
      <c r="I41" s="348"/>
      <c r="J41" s="348"/>
    </row>
    <row r="42" ht="18" customHeight="1" spans="1:10">
      <c r="A42" s="421" t="s">
        <v>81</v>
      </c>
      <c r="B42" s="348">
        <v>7490</v>
      </c>
      <c r="C42" s="348">
        <v>8933</v>
      </c>
      <c r="D42" s="348"/>
      <c r="E42" s="348"/>
      <c r="F42" s="348"/>
      <c r="G42" s="348"/>
      <c r="H42" s="348">
        <v>7490</v>
      </c>
      <c r="I42" s="348"/>
      <c r="J42" s="348"/>
    </row>
    <row r="43" ht="18" customHeight="1" spans="1:10">
      <c r="A43" s="421" t="s">
        <v>82</v>
      </c>
      <c r="B43" s="348">
        <v>23725</v>
      </c>
      <c r="C43" s="348">
        <v>27735</v>
      </c>
      <c r="D43" s="348"/>
      <c r="E43" s="348"/>
      <c r="F43" s="348"/>
      <c r="G43" s="348"/>
      <c r="H43" s="348">
        <v>16447</v>
      </c>
      <c r="I43" s="348"/>
      <c r="J43" s="348"/>
    </row>
    <row r="44" ht="18" customHeight="1" spans="1:10">
      <c r="A44" s="421" t="s">
        <v>83</v>
      </c>
      <c r="B44" s="348"/>
      <c r="C44" s="348"/>
      <c r="D44" s="348"/>
      <c r="E44" s="348"/>
      <c r="F44" s="348"/>
      <c r="G44" s="348"/>
      <c r="H44" s="348"/>
      <c r="I44" s="348"/>
      <c r="J44" s="348"/>
    </row>
    <row r="45" ht="18" customHeight="1" spans="1:10">
      <c r="A45" s="421" t="s">
        <v>84</v>
      </c>
      <c r="B45" s="348">
        <v>8397</v>
      </c>
      <c r="C45" s="348">
        <v>18943</v>
      </c>
      <c r="D45" s="348"/>
      <c r="E45" s="348"/>
      <c r="F45" s="348"/>
      <c r="G45" s="348"/>
      <c r="H45" s="348">
        <v>6742.63</v>
      </c>
      <c r="I45" s="348"/>
      <c r="J45" s="348"/>
    </row>
    <row r="46" ht="18" customHeight="1" spans="1:10">
      <c r="A46" s="421" t="s">
        <v>85</v>
      </c>
      <c r="B46" s="348"/>
      <c r="C46" s="348"/>
      <c r="D46" s="348"/>
      <c r="E46" s="348"/>
      <c r="F46" s="348"/>
      <c r="G46" s="348"/>
      <c r="H46" s="348"/>
      <c r="I46" s="348"/>
      <c r="J46" s="348"/>
    </row>
    <row r="47" ht="18" customHeight="1" spans="1:10">
      <c r="A47" s="421" t="s">
        <v>86</v>
      </c>
      <c r="B47" s="348"/>
      <c r="C47" s="348"/>
      <c r="D47" s="348"/>
      <c r="E47" s="348"/>
      <c r="F47" s="348"/>
      <c r="G47" s="348"/>
      <c r="H47" s="348"/>
      <c r="I47" s="348"/>
      <c r="J47" s="348"/>
    </row>
    <row r="48" ht="18" customHeight="1" spans="1:10">
      <c r="A48" s="422" t="s">
        <v>87</v>
      </c>
      <c r="B48" s="348"/>
      <c r="C48" s="348">
        <v>34</v>
      </c>
      <c r="D48" s="348"/>
      <c r="E48" s="348"/>
      <c r="F48" s="348"/>
      <c r="G48" s="348"/>
      <c r="H48" s="348"/>
      <c r="I48" s="348"/>
      <c r="J48" s="348"/>
    </row>
    <row r="49" ht="18" customHeight="1" spans="1:10">
      <c r="A49" s="422" t="s">
        <v>88</v>
      </c>
      <c r="B49" s="348"/>
      <c r="C49" s="348"/>
      <c r="D49" s="348"/>
      <c r="E49" s="348"/>
      <c r="F49" s="348"/>
      <c r="G49" s="348"/>
      <c r="H49" s="348"/>
      <c r="I49" s="348"/>
      <c r="J49" s="348"/>
    </row>
    <row r="50" ht="18" customHeight="1" spans="1:10">
      <c r="A50" s="421" t="s">
        <v>89</v>
      </c>
      <c r="B50" s="348">
        <v>8007</v>
      </c>
      <c r="C50" s="348">
        <v>14059</v>
      </c>
      <c r="D50" s="348"/>
      <c r="E50" s="348"/>
      <c r="F50" s="348"/>
      <c r="G50" s="348"/>
      <c r="H50" s="348">
        <v>7786.57</v>
      </c>
      <c r="I50" s="348"/>
      <c r="J50" s="348"/>
    </row>
    <row r="51" ht="18" customHeight="1" spans="1:10">
      <c r="A51" s="421" t="s">
        <v>90</v>
      </c>
      <c r="B51" s="348"/>
      <c r="C51" s="348"/>
      <c r="D51" s="348"/>
      <c r="E51" s="348"/>
      <c r="F51" s="348"/>
      <c r="G51" s="348"/>
      <c r="H51" s="348"/>
      <c r="I51" s="348"/>
      <c r="J51" s="348"/>
    </row>
    <row r="52" ht="18" customHeight="1" spans="1:10">
      <c r="A52" s="421" t="s">
        <v>91</v>
      </c>
      <c r="B52" s="348"/>
      <c r="C52" s="348"/>
      <c r="D52" s="348"/>
      <c r="E52" s="348"/>
      <c r="F52" s="348"/>
      <c r="G52" s="348"/>
      <c r="H52" s="348"/>
      <c r="I52" s="348"/>
      <c r="J52" s="348"/>
    </row>
    <row r="53" ht="18" customHeight="1" spans="1:10">
      <c r="A53" s="421" t="s">
        <v>92</v>
      </c>
      <c r="B53" s="348"/>
      <c r="C53" s="348"/>
      <c r="D53" s="348"/>
      <c r="E53" s="348"/>
      <c r="F53" s="348"/>
      <c r="G53" s="348"/>
      <c r="H53" s="348"/>
      <c r="I53" s="348"/>
      <c r="J53" s="348"/>
    </row>
    <row r="54" ht="18" customHeight="1" spans="1:10">
      <c r="A54" s="421" t="s">
        <v>93</v>
      </c>
      <c r="B54" s="348"/>
      <c r="C54" s="348"/>
      <c r="D54" s="348"/>
      <c r="E54" s="348"/>
      <c r="F54" s="348"/>
      <c r="G54" s="348"/>
      <c r="H54" s="348"/>
      <c r="I54" s="348"/>
      <c r="J54" s="348"/>
    </row>
    <row r="55" ht="18" customHeight="1" spans="1:10">
      <c r="A55" s="421" t="s">
        <v>94</v>
      </c>
      <c r="B55" s="379"/>
      <c r="C55" s="379"/>
      <c r="D55" s="348"/>
      <c r="E55" s="348"/>
      <c r="F55" s="348"/>
      <c r="G55" s="348"/>
      <c r="H55" s="348"/>
      <c r="I55" s="348"/>
      <c r="J55" s="348"/>
    </row>
    <row r="56" ht="18" customHeight="1" spans="1:10">
      <c r="A56" s="421" t="s">
        <v>95</v>
      </c>
      <c r="B56" s="379"/>
      <c r="C56" s="379"/>
      <c r="D56" s="348"/>
      <c r="E56" s="348"/>
      <c r="F56" s="348"/>
      <c r="G56" s="348"/>
      <c r="H56" s="348"/>
      <c r="I56" s="348"/>
      <c r="J56" s="348"/>
    </row>
    <row r="57" ht="18" customHeight="1" spans="1:10">
      <c r="A57" s="420" t="s">
        <v>96</v>
      </c>
      <c r="B57" s="379"/>
      <c r="C57" s="379"/>
      <c r="D57" s="348"/>
      <c r="E57" s="348"/>
      <c r="F57" s="348"/>
      <c r="G57" s="348"/>
      <c r="H57" s="348"/>
      <c r="I57" s="348"/>
      <c r="J57" s="348"/>
    </row>
    <row r="58" ht="18" customHeight="1" spans="1:10">
      <c r="A58" s="420" t="s">
        <v>97</v>
      </c>
      <c r="B58" s="379">
        <v>21080</v>
      </c>
      <c r="C58" s="379">
        <v>16017</v>
      </c>
      <c r="D58" s="348"/>
      <c r="E58" s="348"/>
      <c r="F58" s="348"/>
      <c r="G58" s="348"/>
      <c r="H58" s="348">
        <v>11140</v>
      </c>
      <c r="I58" s="348"/>
      <c r="J58" s="348"/>
    </row>
    <row r="59" ht="18" customHeight="1" spans="1:10">
      <c r="A59" s="420" t="s">
        <v>98</v>
      </c>
      <c r="B59" s="379">
        <v>14341</v>
      </c>
      <c r="C59" s="379">
        <v>36632</v>
      </c>
      <c r="D59" s="348"/>
      <c r="E59" s="348"/>
      <c r="F59" s="348"/>
      <c r="G59" s="348"/>
      <c r="H59" s="348">
        <v>16418.53</v>
      </c>
      <c r="I59" s="348"/>
      <c r="J59" s="348"/>
    </row>
    <row r="60" ht="18" customHeight="1" spans="1:10">
      <c r="A60" s="420" t="s">
        <v>99</v>
      </c>
      <c r="B60" s="379"/>
      <c r="C60" s="379">
        <v>646</v>
      </c>
      <c r="D60" s="348"/>
      <c r="E60" s="348"/>
      <c r="F60" s="348"/>
      <c r="G60" s="348"/>
      <c r="H60" s="348">
        <v>0</v>
      </c>
      <c r="I60" s="348"/>
      <c r="J60" s="348"/>
    </row>
    <row r="61" spans="1:10">
      <c r="A61" s="420" t="s">
        <v>100</v>
      </c>
      <c r="B61" s="379">
        <v>1100</v>
      </c>
      <c r="C61" s="379">
        <v>1504</v>
      </c>
      <c r="D61" s="348"/>
      <c r="E61" s="348"/>
      <c r="F61" s="348"/>
      <c r="G61" s="348"/>
      <c r="H61" s="348">
        <v>487.27</v>
      </c>
      <c r="I61" s="348"/>
      <c r="J61" s="348"/>
    </row>
    <row r="62" ht="18" customHeight="1" spans="1:10">
      <c r="A62" s="420" t="s">
        <v>101</v>
      </c>
      <c r="B62" s="379">
        <v>15295</v>
      </c>
      <c r="C62" s="379">
        <v>19170</v>
      </c>
      <c r="D62" s="348"/>
      <c r="E62" s="348"/>
      <c r="F62" s="348"/>
      <c r="G62" s="348"/>
      <c r="H62" s="348">
        <v>17849.516</v>
      </c>
      <c r="I62" s="348"/>
      <c r="J62" s="348"/>
    </row>
    <row r="63" ht="18" customHeight="1" spans="1:10">
      <c r="A63" s="420" t="s">
        <v>102</v>
      </c>
      <c r="B63" s="379">
        <v>371102</v>
      </c>
      <c r="C63" s="379">
        <v>364999</v>
      </c>
      <c r="D63" s="348"/>
      <c r="E63" s="348"/>
      <c r="F63" s="348"/>
      <c r="G63" s="348"/>
      <c r="H63" s="348">
        <v>344687.65</v>
      </c>
      <c r="I63" s="348"/>
      <c r="J63" s="348"/>
    </row>
    <row r="64" ht="18" customHeight="1" spans="1:10">
      <c r="A64" s="420" t="s">
        <v>103</v>
      </c>
      <c r="B64" s="379">
        <v>2632</v>
      </c>
      <c r="C64" s="379">
        <v>1709</v>
      </c>
      <c r="D64" s="348"/>
      <c r="E64" s="348"/>
      <c r="F64" s="348"/>
      <c r="G64" s="348"/>
      <c r="H64" s="348">
        <v>47.26</v>
      </c>
      <c r="I64" s="348"/>
      <c r="J64" s="348"/>
    </row>
    <row r="65" ht="18" customHeight="1" spans="1:10">
      <c r="A65" s="420" t="s">
        <v>104</v>
      </c>
      <c r="B65" s="379"/>
      <c r="C65" s="379"/>
      <c r="D65" s="348"/>
      <c r="E65" s="348"/>
      <c r="F65" s="348"/>
      <c r="G65" s="348"/>
      <c r="H65" s="348">
        <v>0</v>
      </c>
      <c r="I65" s="348"/>
      <c r="J65" s="348"/>
    </row>
    <row r="66" ht="18" customHeight="1" spans="1:10">
      <c r="A66" s="420" t="s">
        <v>105</v>
      </c>
      <c r="B66" s="379">
        <v>880</v>
      </c>
      <c r="C66" s="379">
        <v>5399</v>
      </c>
      <c r="D66" s="348"/>
      <c r="E66" s="348"/>
      <c r="F66" s="348"/>
      <c r="G66" s="348"/>
      <c r="H66" s="348">
        <v>636.0615</v>
      </c>
      <c r="I66" s="348"/>
      <c r="J66" s="348"/>
    </row>
    <row r="67" ht="18" customHeight="1" spans="1:10">
      <c r="A67" s="420" t="s">
        <v>106</v>
      </c>
      <c r="B67" s="379">
        <v>2366</v>
      </c>
      <c r="C67" s="379">
        <v>2731</v>
      </c>
      <c r="D67" s="348"/>
      <c r="E67" s="348"/>
      <c r="F67" s="348"/>
      <c r="G67" s="348"/>
      <c r="H67" s="348">
        <v>2045.6</v>
      </c>
      <c r="I67" s="348"/>
      <c r="J67" s="348"/>
    </row>
    <row r="68" spans="1:10">
      <c r="A68" s="420" t="s">
        <v>107</v>
      </c>
      <c r="B68" s="379"/>
      <c r="C68" s="379"/>
      <c r="D68" s="348"/>
      <c r="E68" s="348"/>
      <c r="F68" s="348"/>
      <c r="G68" s="348"/>
      <c r="H68" s="348"/>
      <c r="I68" s="348"/>
      <c r="J68" s="348"/>
    </row>
    <row r="69" ht="18" customHeight="1" spans="1:10">
      <c r="A69" s="420" t="s">
        <v>108</v>
      </c>
      <c r="B69" s="379"/>
      <c r="C69" s="379"/>
      <c r="D69" s="348"/>
      <c r="E69" s="348"/>
      <c r="F69" s="348"/>
      <c r="G69" s="348"/>
      <c r="H69" s="348"/>
      <c r="I69" s="348"/>
      <c r="J69" s="348"/>
    </row>
    <row r="70" ht="18" customHeight="1" spans="1:10">
      <c r="A70" s="420" t="s">
        <v>109</v>
      </c>
      <c r="B70" s="379"/>
      <c r="C70" s="379"/>
      <c r="D70" s="348"/>
      <c r="E70" s="348"/>
      <c r="F70" s="348"/>
      <c r="G70" s="348"/>
      <c r="H70" s="348"/>
      <c r="I70" s="348"/>
      <c r="J70" s="348"/>
    </row>
    <row r="71" spans="1:10">
      <c r="A71" s="420" t="s">
        <v>110</v>
      </c>
      <c r="B71" s="379"/>
      <c r="C71" s="379"/>
      <c r="D71" s="348"/>
      <c r="E71" s="348"/>
      <c r="F71" s="348"/>
      <c r="G71" s="348"/>
      <c r="H71" s="348"/>
      <c r="I71" s="348"/>
      <c r="J71" s="348"/>
    </row>
    <row r="72" ht="18" customHeight="1" spans="1:10">
      <c r="A72" s="420" t="s">
        <v>111</v>
      </c>
      <c r="B72" s="379">
        <v>3922</v>
      </c>
      <c r="C72" s="379">
        <v>10569</v>
      </c>
      <c r="D72" s="348"/>
      <c r="E72" s="348"/>
      <c r="F72" s="348"/>
      <c r="G72" s="348"/>
      <c r="H72" s="348">
        <v>1180.5</v>
      </c>
      <c r="I72" s="348"/>
      <c r="J72" s="348"/>
    </row>
    <row r="73" ht="18" customHeight="1" spans="1:10">
      <c r="A73" s="420" t="s">
        <v>112</v>
      </c>
      <c r="B73" s="348"/>
      <c r="C73" s="348"/>
      <c r="D73" s="348"/>
      <c r="E73" s="348"/>
      <c r="F73" s="348"/>
      <c r="G73" s="348"/>
      <c r="H73" s="348">
        <v>0</v>
      </c>
      <c r="I73" s="348"/>
      <c r="J73" s="348"/>
    </row>
    <row r="74" spans="1:10">
      <c r="A74" s="420" t="s">
        <v>113</v>
      </c>
      <c r="B74" s="348">
        <v>814.5</v>
      </c>
      <c r="C74" s="348">
        <v>131</v>
      </c>
      <c r="D74" s="348"/>
      <c r="E74" s="348"/>
      <c r="F74" s="348"/>
      <c r="G74" s="348"/>
      <c r="H74" s="348">
        <v>197</v>
      </c>
      <c r="I74" s="348"/>
      <c r="J74" s="348"/>
    </row>
    <row r="75" ht="18" customHeight="1" spans="1:10">
      <c r="A75" s="421" t="s">
        <v>114</v>
      </c>
      <c r="B75" s="348"/>
      <c r="C75" s="348"/>
      <c r="D75" s="348"/>
      <c r="E75" s="348"/>
      <c r="F75" s="348"/>
      <c r="G75" s="348"/>
      <c r="H75" s="348"/>
      <c r="I75" s="348"/>
      <c r="J75" s="348"/>
    </row>
    <row r="76" ht="18" customHeight="1" spans="1:10">
      <c r="A76" s="421" t="s">
        <v>115</v>
      </c>
      <c r="B76" s="348">
        <v>1461.5</v>
      </c>
      <c r="C76" s="348">
        <v>1865</v>
      </c>
      <c r="D76" s="348"/>
      <c r="E76" s="348"/>
      <c r="F76" s="348"/>
      <c r="G76" s="348"/>
      <c r="H76" s="348">
        <v>1145.31</v>
      </c>
      <c r="I76" s="348"/>
      <c r="J76" s="348"/>
    </row>
    <row r="77" ht="18" customHeight="1" spans="1:10">
      <c r="A77" s="420" t="s">
        <v>116</v>
      </c>
      <c r="B77" s="348">
        <f>SUM(B78:B98)</f>
        <v>121366</v>
      </c>
      <c r="C77" s="348">
        <f>SUM(C78:C98)</f>
        <v>94661</v>
      </c>
      <c r="D77" s="348"/>
      <c r="E77" s="348"/>
      <c r="F77" s="348"/>
      <c r="G77" s="348"/>
      <c r="H77" s="348">
        <f>SUM(H78:H98)</f>
        <v>10074</v>
      </c>
      <c r="I77" s="348"/>
      <c r="J77" s="348"/>
    </row>
    <row r="78" ht="18" customHeight="1" spans="1:10">
      <c r="A78" s="420" t="s">
        <v>117</v>
      </c>
      <c r="B78" s="348">
        <v>4143.5</v>
      </c>
      <c r="C78" s="348">
        <v>17040</v>
      </c>
      <c r="D78" s="348"/>
      <c r="E78" s="348"/>
      <c r="F78" s="348"/>
      <c r="G78" s="348"/>
      <c r="H78" s="348">
        <v>542</v>
      </c>
      <c r="I78" s="348"/>
      <c r="J78" s="348"/>
    </row>
    <row r="79" ht="18" customHeight="1" spans="1:10">
      <c r="A79" s="420" t="s">
        <v>118</v>
      </c>
      <c r="B79" s="348"/>
      <c r="C79" s="348"/>
      <c r="D79" s="348"/>
      <c r="E79" s="348"/>
      <c r="F79" s="348"/>
      <c r="G79" s="348"/>
      <c r="H79" s="348">
        <v>0</v>
      </c>
      <c r="I79" s="348"/>
      <c r="J79" s="348"/>
    </row>
    <row r="80" ht="18" customHeight="1" spans="1:10">
      <c r="A80" s="420" t="s">
        <v>119</v>
      </c>
      <c r="B80" s="348">
        <v>265.5</v>
      </c>
      <c r="C80" s="348">
        <v>586</v>
      </c>
      <c r="D80" s="348"/>
      <c r="E80" s="348"/>
      <c r="F80" s="348"/>
      <c r="G80" s="348"/>
      <c r="H80" s="348">
        <v>0</v>
      </c>
      <c r="I80" s="348"/>
      <c r="J80" s="348"/>
    </row>
    <row r="81" ht="18" customHeight="1" spans="1:10">
      <c r="A81" s="420" t="s">
        <v>120</v>
      </c>
      <c r="B81" s="348"/>
      <c r="C81" s="348"/>
      <c r="D81" s="348"/>
      <c r="E81" s="348"/>
      <c r="F81" s="348"/>
      <c r="G81" s="348"/>
      <c r="H81" s="348">
        <v>0</v>
      </c>
      <c r="I81" s="348"/>
      <c r="J81" s="348"/>
    </row>
    <row r="82" ht="18" customHeight="1" spans="1:10">
      <c r="A82" s="420" t="s">
        <v>121</v>
      </c>
      <c r="B82" s="348">
        <v>6120</v>
      </c>
      <c r="C82" s="348">
        <v>3181</v>
      </c>
      <c r="D82" s="348"/>
      <c r="E82" s="348"/>
      <c r="F82" s="348"/>
      <c r="G82" s="348"/>
      <c r="H82" s="348">
        <v>0</v>
      </c>
      <c r="I82" s="348"/>
      <c r="J82" s="348"/>
    </row>
    <row r="83" ht="18" customHeight="1" spans="1:10">
      <c r="A83" s="420" t="s">
        <v>122</v>
      </c>
      <c r="B83" s="348"/>
      <c r="C83" s="348"/>
      <c r="D83" s="348"/>
      <c r="E83" s="348"/>
      <c r="F83" s="348"/>
      <c r="G83" s="348"/>
      <c r="H83" s="348">
        <v>0</v>
      </c>
      <c r="I83" s="348"/>
      <c r="J83" s="348"/>
    </row>
    <row r="84" ht="18" customHeight="1" spans="1:10">
      <c r="A84" s="420" t="s">
        <v>123</v>
      </c>
      <c r="B84" s="348"/>
      <c r="C84" s="348">
        <v>77</v>
      </c>
      <c r="D84" s="348"/>
      <c r="E84" s="348"/>
      <c r="F84" s="348"/>
      <c r="G84" s="348"/>
      <c r="H84" s="348">
        <v>124</v>
      </c>
      <c r="I84" s="348"/>
      <c r="J84" s="348"/>
    </row>
    <row r="85" ht="18" customHeight="1" spans="1:10">
      <c r="A85" s="420" t="s">
        <v>124</v>
      </c>
      <c r="B85" s="348">
        <v>2835</v>
      </c>
      <c r="C85" s="348">
        <v>3234</v>
      </c>
      <c r="D85" s="348"/>
      <c r="E85" s="348"/>
      <c r="F85" s="348"/>
      <c r="G85" s="348"/>
      <c r="H85" s="348">
        <v>171</v>
      </c>
      <c r="I85" s="348"/>
      <c r="J85" s="348"/>
    </row>
    <row r="86" ht="18" customHeight="1" spans="1:10">
      <c r="A86" s="420" t="s">
        <v>125</v>
      </c>
      <c r="B86" s="348">
        <v>2128</v>
      </c>
      <c r="C86" s="348">
        <v>10973</v>
      </c>
      <c r="D86" s="348"/>
      <c r="E86" s="348"/>
      <c r="F86" s="348"/>
      <c r="G86" s="348"/>
      <c r="H86" s="348">
        <v>2114</v>
      </c>
      <c r="I86" s="348"/>
      <c r="J86" s="348"/>
    </row>
    <row r="87" ht="18" customHeight="1" spans="1:10">
      <c r="A87" s="420" t="s">
        <v>126</v>
      </c>
      <c r="B87" s="348">
        <v>1585</v>
      </c>
      <c r="C87" s="348">
        <v>6536</v>
      </c>
      <c r="D87" s="348"/>
      <c r="E87" s="348"/>
      <c r="F87" s="348"/>
      <c r="G87" s="348"/>
      <c r="H87" s="348">
        <v>1246</v>
      </c>
      <c r="I87" s="348"/>
      <c r="J87" s="348"/>
    </row>
    <row r="88" ht="18" customHeight="1" spans="1:10">
      <c r="A88" s="420" t="s">
        <v>127</v>
      </c>
      <c r="B88" s="348">
        <v>63019</v>
      </c>
      <c r="C88" s="348">
        <v>1431</v>
      </c>
      <c r="D88" s="348"/>
      <c r="E88" s="348"/>
      <c r="F88" s="348"/>
      <c r="G88" s="348"/>
      <c r="H88" s="348">
        <v>0</v>
      </c>
      <c r="I88" s="348"/>
      <c r="J88" s="348"/>
    </row>
    <row r="89" ht="18" customHeight="1" spans="1:10">
      <c r="A89" s="420" t="s">
        <v>128</v>
      </c>
      <c r="B89" s="348">
        <v>5161</v>
      </c>
      <c r="C89" s="348">
        <v>11189</v>
      </c>
      <c r="D89" s="348"/>
      <c r="E89" s="348"/>
      <c r="F89" s="348"/>
      <c r="G89" s="348"/>
      <c r="H89" s="348">
        <v>5797</v>
      </c>
      <c r="I89" s="348"/>
      <c r="J89" s="348"/>
    </row>
    <row r="90" ht="18" customHeight="1" spans="1:10">
      <c r="A90" s="420" t="s">
        <v>129</v>
      </c>
      <c r="B90" s="348">
        <v>395</v>
      </c>
      <c r="C90" s="348">
        <v>29</v>
      </c>
      <c r="D90" s="348"/>
      <c r="E90" s="348"/>
      <c r="F90" s="348"/>
      <c r="G90" s="348"/>
      <c r="H90" s="348">
        <v>0</v>
      </c>
      <c r="I90" s="348"/>
      <c r="J90" s="348"/>
    </row>
    <row r="91" ht="18" customHeight="1" spans="1:10">
      <c r="A91" s="420" t="s">
        <v>130</v>
      </c>
      <c r="B91" s="348">
        <v>12932</v>
      </c>
      <c r="C91" s="348">
        <v>21857</v>
      </c>
      <c r="D91" s="348"/>
      <c r="E91" s="348"/>
      <c r="F91" s="348"/>
      <c r="G91" s="348"/>
      <c r="H91" s="348">
        <v>0</v>
      </c>
      <c r="I91" s="348"/>
      <c r="J91" s="348"/>
    </row>
    <row r="92" ht="18" customHeight="1" spans="1:10">
      <c r="A92" s="420" t="s">
        <v>131</v>
      </c>
      <c r="B92" s="348">
        <v>4865</v>
      </c>
      <c r="C92" s="348">
        <v>1934</v>
      </c>
      <c r="D92" s="348"/>
      <c r="E92" s="348"/>
      <c r="F92" s="348"/>
      <c r="G92" s="348"/>
      <c r="H92" s="348">
        <v>0</v>
      </c>
      <c r="I92" s="348"/>
      <c r="J92" s="348"/>
    </row>
    <row r="93" ht="18" customHeight="1" spans="1:10">
      <c r="A93" s="420" t="s">
        <v>132</v>
      </c>
      <c r="B93" s="348"/>
      <c r="C93" s="348">
        <v>207</v>
      </c>
      <c r="D93" s="348"/>
      <c r="E93" s="348"/>
      <c r="F93" s="348"/>
      <c r="G93" s="348"/>
      <c r="H93" s="348">
        <v>0</v>
      </c>
      <c r="I93" s="348"/>
      <c r="J93" s="348"/>
    </row>
    <row r="94" ht="18" customHeight="1" spans="1:10">
      <c r="A94" s="420" t="s">
        <v>133</v>
      </c>
      <c r="B94" s="348">
        <v>9065</v>
      </c>
      <c r="C94" s="348">
        <v>14469</v>
      </c>
      <c r="D94" s="348"/>
      <c r="E94" s="348"/>
      <c r="F94" s="348"/>
      <c r="G94" s="348"/>
      <c r="H94" s="348">
        <v>0</v>
      </c>
      <c r="I94" s="348"/>
      <c r="J94" s="348"/>
    </row>
    <row r="95" ht="18" customHeight="1" spans="1:10">
      <c r="A95" s="420" t="s">
        <v>134</v>
      </c>
      <c r="B95" s="348">
        <v>1937</v>
      </c>
      <c r="C95" s="348">
        <v>1825</v>
      </c>
      <c r="D95" s="348"/>
      <c r="E95" s="348"/>
      <c r="F95" s="348"/>
      <c r="G95" s="348"/>
      <c r="H95" s="348">
        <v>0</v>
      </c>
      <c r="I95" s="348"/>
      <c r="J95" s="348"/>
    </row>
    <row r="96" ht="18" customHeight="1" spans="1:10">
      <c r="A96" s="420" t="s">
        <v>135</v>
      </c>
      <c r="B96" s="348">
        <v>8</v>
      </c>
      <c r="C96" s="348">
        <v>8</v>
      </c>
      <c r="D96" s="348"/>
      <c r="E96" s="348"/>
      <c r="F96" s="348"/>
      <c r="G96" s="348"/>
      <c r="H96" s="348">
        <v>0</v>
      </c>
      <c r="I96" s="348"/>
      <c r="J96" s="348"/>
    </row>
    <row r="97" ht="18" customHeight="1" spans="1:10">
      <c r="A97" s="420" t="s">
        <v>136</v>
      </c>
      <c r="B97" s="348">
        <v>80</v>
      </c>
      <c r="C97" s="348">
        <v>85</v>
      </c>
      <c r="D97" s="348"/>
      <c r="E97" s="348"/>
      <c r="F97" s="348"/>
      <c r="G97" s="348"/>
      <c r="H97" s="348">
        <v>80</v>
      </c>
      <c r="I97" s="348"/>
      <c r="J97" s="348"/>
    </row>
    <row r="98" ht="18" customHeight="1" spans="1:10">
      <c r="A98" s="420" t="s">
        <v>69</v>
      </c>
      <c r="B98" s="348">
        <v>6827</v>
      </c>
      <c r="C98" s="348"/>
      <c r="D98" s="348"/>
      <c r="E98" s="348"/>
      <c r="F98" s="348"/>
      <c r="G98" s="348"/>
      <c r="H98" s="348">
        <v>0</v>
      </c>
      <c r="I98" s="348"/>
      <c r="J98" s="348"/>
    </row>
    <row r="99" ht="18" customHeight="1" spans="1:10">
      <c r="A99" s="420" t="s">
        <v>137</v>
      </c>
      <c r="B99" s="348">
        <v>46411</v>
      </c>
      <c r="C99" s="348">
        <v>42037.6268</v>
      </c>
      <c r="D99" s="348"/>
      <c r="E99" s="348"/>
      <c r="F99" s="348"/>
      <c r="G99" s="348"/>
      <c r="H99" s="348">
        <v>38626</v>
      </c>
      <c r="I99" s="348"/>
      <c r="J99" s="348"/>
    </row>
    <row r="100" ht="18" customHeight="1" spans="1:10">
      <c r="A100" s="416" t="s">
        <v>138</v>
      </c>
      <c r="B100" s="348">
        <v>47673</v>
      </c>
      <c r="C100" s="348">
        <v>49264</v>
      </c>
      <c r="D100" s="348"/>
      <c r="E100" s="348"/>
      <c r="F100" s="348"/>
      <c r="G100" s="348"/>
      <c r="H100" s="348">
        <f>77870.851574+94.65</f>
        <v>77965.501574</v>
      </c>
      <c r="I100" s="348"/>
      <c r="J100" s="348"/>
    </row>
    <row r="101" ht="18" customHeight="1" spans="1:10">
      <c r="A101" s="416" t="s">
        <v>139</v>
      </c>
      <c r="B101" s="348">
        <v>12000</v>
      </c>
      <c r="C101" s="348">
        <v>26016</v>
      </c>
      <c r="D101" s="348"/>
      <c r="E101" s="348"/>
      <c r="F101" s="348"/>
      <c r="G101" s="348"/>
      <c r="H101" s="348">
        <v>12000</v>
      </c>
      <c r="I101" s="348"/>
      <c r="J101" s="348"/>
    </row>
    <row r="102" ht="18" customHeight="1" spans="1:10">
      <c r="A102" s="416" t="s">
        <v>140</v>
      </c>
      <c r="B102" s="348">
        <f>SUM(B103:B105)</f>
        <v>73578</v>
      </c>
      <c r="C102" s="348">
        <f>SUM(C103:C105)</f>
        <v>24755</v>
      </c>
      <c r="D102" s="348"/>
      <c r="E102" s="348"/>
      <c r="F102" s="348"/>
      <c r="G102" s="348"/>
      <c r="H102" s="348">
        <f>SUM(H103:H105)</f>
        <v>46655</v>
      </c>
      <c r="I102" s="348"/>
      <c r="J102" s="348"/>
    </row>
    <row r="103" ht="18" customHeight="1" spans="1:10">
      <c r="A103" s="416" t="s">
        <v>141</v>
      </c>
      <c r="B103" s="348">
        <v>70000</v>
      </c>
      <c r="C103" s="348">
        <v>20000</v>
      </c>
      <c r="D103" s="348"/>
      <c r="E103" s="348"/>
      <c r="F103" s="348"/>
      <c r="G103" s="348"/>
      <c r="H103" s="348">
        <v>41900</v>
      </c>
      <c r="I103" s="348"/>
      <c r="J103" s="348"/>
    </row>
    <row r="104" ht="18" customHeight="1" spans="1:10">
      <c r="A104" s="416" t="s">
        <v>142</v>
      </c>
      <c r="B104" s="348">
        <v>3578</v>
      </c>
      <c r="C104" s="348">
        <v>4755</v>
      </c>
      <c r="D104" s="348"/>
      <c r="E104" s="348"/>
      <c r="F104" s="348"/>
      <c r="G104" s="348"/>
      <c r="H104" s="348">
        <v>4755</v>
      </c>
      <c r="I104" s="348"/>
      <c r="J104" s="348"/>
    </row>
    <row r="105" ht="18" customHeight="1" spans="1:10">
      <c r="A105" s="416" t="s">
        <v>143</v>
      </c>
      <c r="B105" s="348"/>
      <c r="C105" s="348"/>
      <c r="D105" s="348"/>
      <c r="E105" s="348"/>
      <c r="F105" s="348"/>
      <c r="G105" s="348"/>
      <c r="H105" s="348"/>
      <c r="I105" s="348"/>
      <c r="J105" s="348"/>
    </row>
    <row r="106" ht="18" customHeight="1" spans="1:10">
      <c r="A106" s="416" t="s">
        <v>144</v>
      </c>
      <c r="B106" s="348">
        <v>131400</v>
      </c>
      <c r="C106" s="348">
        <v>185800</v>
      </c>
      <c r="D106" s="348"/>
      <c r="E106" s="348"/>
      <c r="F106" s="348"/>
      <c r="G106" s="348"/>
      <c r="H106" s="345">
        <v>55200</v>
      </c>
      <c r="I106" s="348"/>
      <c r="J106" s="348"/>
    </row>
    <row r="107" ht="18" customHeight="1" spans="1:10">
      <c r="A107" s="416" t="s">
        <v>145</v>
      </c>
      <c r="B107" s="348"/>
      <c r="C107" s="348"/>
      <c r="D107" s="348"/>
      <c r="E107" s="348"/>
      <c r="F107" s="348"/>
      <c r="G107" s="348"/>
      <c r="H107" s="348"/>
      <c r="I107" s="348"/>
      <c r="J107" s="348"/>
    </row>
    <row r="108" ht="18" customHeight="1" spans="1:10">
      <c r="A108" s="428" t="s">
        <v>146</v>
      </c>
      <c r="B108" s="345">
        <f>B31+B32</f>
        <v>1303041</v>
      </c>
      <c r="C108" s="345">
        <f>C31+C32</f>
        <v>1335539.6268</v>
      </c>
      <c r="D108" s="348"/>
      <c r="E108" s="348"/>
      <c r="F108" s="348"/>
      <c r="G108" s="348"/>
      <c r="H108" s="345">
        <f>H31+H32</f>
        <v>1072803.399074</v>
      </c>
      <c r="I108" s="348"/>
      <c r="J108" s="348"/>
    </row>
    <row r="112" spans="3:3">
      <c r="C112" s="383"/>
    </row>
    <row r="113" s="324" customFormat="1" spans="3:3">
      <c r="C113" s="383"/>
    </row>
  </sheetData>
  <mergeCells count="13">
    <mergeCell ref="A2:J2"/>
    <mergeCell ref="C3:F3"/>
    <mergeCell ref="I3:J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</mergeCells>
  <printOptions horizontalCentered="1"/>
  <pageMargins left="0.707638888888889" right="0.707638888888889" top="0.747916666666667" bottom="0.668055555555556" header="0.313888888888889" footer="0.432638888888889"/>
  <pageSetup paperSize="9" scale="75" orientation="landscape"/>
  <headerFooter>
    <oddFooter>&amp;C第 &amp;P 页，共 &amp;N 页</oddFooter>
  </headerFooter>
  <ignoredErrors>
    <ignoredError sqref="B10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theme="0"/>
  </sheetPr>
  <dimension ref="A1:XFA1197"/>
  <sheetViews>
    <sheetView showZeros="0" view="pageBreakPreview" zoomScale="120" zoomScaleNormal="100" zoomScaleSheetLayoutView="120" workbookViewId="0">
      <pane xSplit="1" ySplit="6" topLeftCell="B18" activePane="bottomRight" state="frozen"/>
      <selection/>
      <selection pane="topRight"/>
      <selection pane="bottomLeft"/>
      <selection pane="bottomRight" activeCell="N15" sqref="N15"/>
    </sheetView>
  </sheetViews>
  <sheetFormatPr defaultColWidth="9" defaultRowHeight="14.25"/>
  <cols>
    <col min="1" max="1" width="48.25" style="328" customWidth="1"/>
    <col min="2" max="2" width="12.3333333333333" style="329" customWidth="1"/>
    <col min="3" max="3" width="13.25" style="324" customWidth="1"/>
    <col min="4" max="4" width="11.8333333333333" style="326" customWidth="1"/>
    <col min="5" max="5" width="12.3333333333333" style="326" hidden="1" customWidth="1"/>
    <col min="6" max="6" width="12" style="326" customWidth="1"/>
    <col min="7" max="7" width="11.1416666666667" style="330" customWidth="1"/>
    <col min="8" max="8" width="13.25" style="326" customWidth="1"/>
    <col min="9" max="9" width="11.25" style="391" customWidth="1"/>
    <col min="10" max="10" width="10.5833333333333" style="330" customWidth="1"/>
    <col min="11" max="11" width="12" style="326"/>
    <col min="12" max="12" width="9" style="326" hidden="1" customWidth="1"/>
    <col min="13" max="13" width="9.08333333333333" style="326" customWidth="1"/>
    <col min="14" max="15" width="12" style="326" customWidth="1"/>
    <col min="16" max="16" width="11.3333333333333" style="326" customWidth="1"/>
    <col min="17" max="17" width="12" style="326"/>
    <col min="18" max="250" width="9" style="326"/>
    <col min="251" max="251" width="50.75" style="326" customWidth="1"/>
    <col min="252" max="252" width="14" style="326" customWidth="1"/>
    <col min="253" max="253" width="9" style="326" hidden="1" customWidth="1"/>
    <col min="254" max="254" width="12.0833333333333" style="326" customWidth="1"/>
    <col min="255" max="255" width="9" style="326" hidden="1" customWidth="1"/>
    <col min="256" max="256" width="8.83333333333333" style="326" customWidth="1"/>
    <col min="257" max="257" width="12.3333333333333" style="326" customWidth="1"/>
    <col min="258" max="258" width="12" style="326" customWidth="1"/>
    <col min="259" max="259" width="8.75" style="326" customWidth="1"/>
    <col min="260" max="260" width="12" style="326" customWidth="1"/>
    <col min="261" max="261" width="11.25" style="326" customWidth="1"/>
    <col min="262" max="262" width="8.75" style="326" customWidth="1"/>
    <col min="263" max="263" width="9" style="326"/>
    <col min="264" max="267" width="9" style="326" hidden="1" customWidth="1"/>
    <col min="268" max="268" width="9.08333333333333" style="326" customWidth="1"/>
    <col min="269" max="269" width="9" style="326"/>
    <col min="270" max="270" width="9.08333333333333" style="326" customWidth="1"/>
    <col min="271" max="506" width="9" style="326"/>
    <col min="507" max="507" width="50.75" style="326" customWidth="1"/>
    <col min="508" max="508" width="14" style="326" customWidth="1"/>
    <col min="509" max="509" width="9" style="326" hidden="1" customWidth="1"/>
    <col min="510" max="510" width="12.0833333333333" style="326" customWidth="1"/>
    <col min="511" max="511" width="9" style="326" hidden="1" customWidth="1"/>
    <col min="512" max="512" width="8.83333333333333" style="326" customWidth="1"/>
    <col min="513" max="513" width="12.3333333333333" style="326" customWidth="1"/>
    <col min="514" max="514" width="12" style="326" customWidth="1"/>
    <col min="515" max="515" width="8.75" style="326" customWidth="1"/>
    <col min="516" max="516" width="12" style="326" customWidth="1"/>
    <col min="517" max="517" width="11.25" style="326" customWidth="1"/>
    <col min="518" max="518" width="8.75" style="326" customWidth="1"/>
    <col min="519" max="519" width="9" style="326"/>
    <col min="520" max="523" width="9" style="326" hidden="1" customWidth="1"/>
    <col min="524" max="524" width="9.08333333333333" style="326" customWidth="1"/>
    <col min="525" max="525" width="9" style="326"/>
    <col min="526" max="526" width="9.08333333333333" style="326" customWidth="1"/>
    <col min="527" max="762" width="9" style="326"/>
    <col min="763" max="763" width="50.75" style="326" customWidth="1"/>
    <col min="764" max="764" width="14" style="326" customWidth="1"/>
    <col min="765" max="765" width="9" style="326" hidden="1" customWidth="1"/>
    <col min="766" max="766" width="12.0833333333333" style="326" customWidth="1"/>
    <col min="767" max="767" width="9" style="326" hidden="1" customWidth="1"/>
    <col min="768" max="768" width="8.83333333333333" style="326" customWidth="1"/>
    <col min="769" max="769" width="12.3333333333333" style="326" customWidth="1"/>
    <col min="770" max="770" width="12" style="326" customWidth="1"/>
    <col min="771" max="771" width="8.75" style="326" customWidth="1"/>
    <col min="772" max="772" width="12" style="326" customWidth="1"/>
    <col min="773" max="773" width="11.25" style="326" customWidth="1"/>
    <col min="774" max="774" width="8.75" style="326" customWidth="1"/>
    <col min="775" max="775" width="9" style="326"/>
    <col min="776" max="779" width="9" style="326" hidden="1" customWidth="1"/>
    <col min="780" max="780" width="9.08333333333333" style="326" customWidth="1"/>
    <col min="781" max="781" width="9" style="326"/>
    <col min="782" max="782" width="9.08333333333333" style="326" customWidth="1"/>
    <col min="783" max="1018" width="9" style="326"/>
    <col min="1019" max="1019" width="50.75" style="326" customWidth="1"/>
    <col min="1020" max="1020" width="14" style="326" customWidth="1"/>
    <col min="1021" max="1021" width="9" style="326" hidden="1" customWidth="1"/>
    <col min="1022" max="1022" width="12.0833333333333" style="326" customWidth="1"/>
    <col min="1023" max="1023" width="9" style="326" hidden="1" customWidth="1"/>
    <col min="1024" max="1024" width="8.83333333333333" style="326" customWidth="1"/>
    <col min="1025" max="1025" width="12.3333333333333" style="326" customWidth="1"/>
    <col min="1026" max="1026" width="12" style="326" customWidth="1"/>
    <col min="1027" max="1027" width="8.75" style="326" customWidth="1"/>
    <col min="1028" max="1028" width="12" style="326" customWidth="1"/>
    <col min="1029" max="1029" width="11.25" style="326" customWidth="1"/>
    <col min="1030" max="1030" width="8.75" style="326" customWidth="1"/>
    <col min="1031" max="1031" width="9" style="326"/>
    <col min="1032" max="1035" width="9" style="326" hidden="1" customWidth="1"/>
    <col min="1036" max="1036" width="9.08333333333333" style="326" customWidth="1"/>
    <col min="1037" max="1037" width="9" style="326"/>
    <col min="1038" max="1038" width="9.08333333333333" style="326" customWidth="1"/>
    <col min="1039" max="1274" width="9" style="326"/>
    <col min="1275" max="1275" width="50.75" style="326" customWidth="1"/>
    <col min="1276" max="1276" width="14" style="326" customWidth="1"/>
    <col min="1277" max="1277" width="9" style="326" hidden="1" customWidth="1"/>
    <col min="1278" max="1278" width="12.0833333333333" style="326" customWidth="1"/>
    <col min="1279" max="1279" width="9" style="326" hidden="1" customWidth="1"/>
    <col min="1280" max="1280" width="8.83333333333333" style="326" customWidth="1"/>
    <col min="1281" max="1281" width="12.3333333333333" style="326" customWidth="1"/>
    <col min="1282" max="1282" width="12" style="326" customWidth="1"/>
    <col min="1283" max="1283" width="8.75" style="326" customWidth="1"/>
    <col min="1284" max="1284" width="12" style="326" customWidth="1"/>
    <col min="1285" max="1285" width="11.25" style="326" customWidth="1"/>
    <col min="1286" max="1286" width="8.75" style="326" customWidth="1"/>
    <col min="1287" max="1287" width="9" style="326"/>
    <col min="1288" max="1291" width="9" style="326" hidden="1" customWidth="1"/>
    <col min="1292" max="1292" width="9.08333333333333" style="326" customWidth="1"/>
    <col min="1293" max="1293" width="9" style="326"/>
    <col min="1294" max="1294" width="9.08333333333333" style="326" customWidth="1"/>
    <col min="1295" max="1530" width="9" style="326"/>
    <col min="1531" max="1531" width="50.75" style="326" customWidth="1"/>
    <col min="1532" max="1532" width="14" style="326" customWidth="1"/>
    <col min="1533" max="1533" width="9" style="326" hidden="1" customWidth="1"/>
    <col min="1534" max="1534" width="12.0833333333333" style="326" customWidth="1"/>
    <col min="1535" max="1535" width="9" style="326" hidden="1" customWidth="1"/>
    <col min="1536" max="1536" width="8.83333333333333" style="326" customWidth="1"/>
    <col min="1537" max="1537" width="12.3333333333333" style="326" customWidth="1"/>
    <col min="1538" max="1538" width="12" style="326" customWidth="1"/>
    <col min="1539" max="1539" width="8.75" style="326" customWidth="1"/>
    <col min="1540" max="1540" width="12" style="326" customWidth="1"/>
    <col min="1541" max="1541" width="11.25" style="326" customWidth="1"/>
    <col min="1542" max="1542" width="8.75" style="326" customWidth="1"/>
    <col min="1543" max="1543" width="9" style="326"/>
    <col min="1544" max="1547" width="9" style="326" hidden="1" customWidth="1"/>
    <col min="1548" max="1548" width="9.08333333333333" style="326" customWidth="1"/>
    <col min="1549" max="1549" width="9" style="326"/>
    <col min="1550" max="1550" width="9.08333333333333" style="326" customWidth="1"/>
    <col min="1551" max="1786" width="9" style="326"/>
    <col min="1787" max="1787" width="50.75" style="326" customWidth="1"/>
    <col min="1788" max="1788" width="14" style="326" customWidth="1"/>
    <col min="1789" max="1789" width="9" style="326" hidden="1" customWidth="1"/>
    <col min="1790" max="1790" width="12.0833333333333" style="326" customWidth="1"/>
    <col min="1791" max="1791" width="9" style="326" hidden="1" customWidth="1"/>
    <col min="1792" max="1792" width="8.83333333333333" style="326" customWidth="1"/>
    <col min="1793" max="1793" width="12.3333333333333" style="326" customWidth="1"/>
    <col min="1794" max="1794" width="12" style="326" customWidth="1"/>
    <col min="1795" max="1795" width="8.75" style="326" customWidth="1"/>
    <col min="1796" max="1796" width="12" style="326" customWidth="1"/>
    <col min="1797" max="1797" width="11.25" style="326" customWidth="1"/>
    <col min="1798" max="1798" width="8.75" style="326" customWidth="1"/>
    <col min="1799" max="1799" width="9" style="326"/>
    <col min="1800" max="1803" width="9" style="326" hidden="1" customWidth="1"/>
    <col min="1804" max="1804" width="9.08333333333333" style="326" customWidth="1"/>
    <col min="1805" max="1805" width="9" style="326"/>
    <col min="1806" max="1806" width="9.08333333333333" style="326" customWidth="1"/>
    <col min="1807" max="2042" width="9" style="326"/>
    <col min="2043" max="2043" width="50.75" style="326" customWidth="1"/>
    <col min="2044" max="2044" width="14" style="326" customWidth="1"/>
    <col min="2045" max="2045" width="9" style="326" hidden="1" customWidth="1"/>
    <col min="2046" max="2046" width="12.0833333333333" style="326" customWidth="1"/>
    <col min="2047" max="2047" width="9" style="326" hidden="1" customWidth="1"/>
    <col min="2048" max="2048" width="8.83333333333333" style="326" customWidth="1"/>
    <col min="2049" max="2049" width="12.3333333333333" style="326" customWidth="1"/>
    <col min="2050" max="2050" width="12" style="326" customWidth="1"/>
    <col min="2051" max="2051" width="8.75" style="326" customWidth="1"/>
    <col min="2052" max="2052" width="12" style="326" customWidth="1"/>
    <col min="2053" max="2053" width="11.25" style="326" customWidth="1"/>
    <col min="2054" max="2054" width="8.75" style="326" customWidth="1"/>
    <col min="2055" max="2055" width="9" style="326"/>
    <col min="2056" max="2059" width="9" style="326" hidden="1" customWidth="1"/>
    <col min="2060" max="2060" width="9.08333333333333" style="326" customWidth="1"/>
    <col min="2061" max="2061" width="9" style="326"/>
    <col min="2062" max="2062" width="9.08333333333333" style="326" customWidth="1"/>
    <col min="2063" max="2298" width="9" style="326"/>
    <col min="2299" max="2299" width="50.75" style="326" customWidth="1"/>
    <col min="2300" max="2300" width="14" style="326" customWidth="1"/>
    <col min="2301" max="2301" width="9" style="326" hidden="1" customWidth="1"/>
    <col min="2302" max="2302" width="12.0833333333333" style="326" customWidth="1"/>
    <col min="2303" max="2303" width="9" style="326" hidden="1" customWidth="1"/>
    <col min="2304" max="2304" width="8.83333333333333" style="326" customWidth="1"/>
    <col min="2305" max="2305" width="12.3333333333333" style="326" customWidth="1"/>
    <col min="2306" max="2306" width="12" style="326" customWidth="1"/>
    <col min="2307" max="2307" width="8.75" style="326" customWidth="1"/>
    <col min="2308" max="2308" width="12" style="326" customWidth="1"/>
    <col min="2309" max="2309" width="11.25" style="326" customWidth="1"/>
    <col min="2310" max="2310" width="8.75" style="326" customWidth="1"/>
    <col min="2311" max="2311" width="9" style="326"/>
    <col min="2312" max="2315" width="9" style="326" hidden="1" customWidth="1"/>
    <col min="2316" max="2316" width="9.08333333333333" style="326" customWidth="1"/>
    <col min="2317" max="2317" width="9" style="326"/>
    <col min="2318" max="2318" width="9.08333333333333" style="326" customWidth="1"/>
    <col min="2319" max="2554" width="9" style="326"/>
    <col min="2555" max="2555" width="50.75" style="326" customWidth="1"/>
    <col min="2556" max="2556" width="14" style="326" customWidth="1"/>
    <col min="2557" max="2557" width="9" style="326" hidden="1" customWidth="1"/>
    <col min="2558" max="2558" width="12.0833333333333" style="326" customWidth="1"/>
    <col min="2559" max="2559" width="9" style="326" hidden="1" customWidth="1"/>
    <col min="2560" max="2560" width="8.83333333333333" style="326" customWidth="1"/>
    <col min="2561" max="2561" width="12.3333333333333" style="326" customWidth="1"/>
    <col min="2562" max="2562" width="12" style="326" customWidth="1"/>
    <col min="2563" max="2563" width="8.75" style="326" customWidth="1"/>
    <col min="2564" max="2564" width="12" style="326" customWidth="1"/>
    <col min="2565" max="2565" width="11.25" style="326" customWidth="1"/>
    <col min="2566" max="2566" width="8.75" style="326" customWidth="1"/>
    <col min="2567" max="2567" width="9" style="326"/>
    <col min="2568" max="2571" width="9" style="326" hidden="1" customWidth="1"/>
    <col min="2572" max="2572" width="9.08333333333333" style="326" customWidth="1"/>
    <col min="2573" max="2573" width="9" style="326"/>
    <col min="2574" max="2574" width="9.08333333333333" style="326" customWidth="1"/>
    <col min="2575" max="2810" width="9" style="326"/>
    <col min="2811" max="2811" width="50.75" style="326" customWidth="1"/>
    <col min="2812" max="2812" width="14" style="326" customWidth="1"/>
    <col min="2813" max="2813" width="9" style="326" hidden="1" customWidth="1"/>
    <col min="2814" max="2814" width="12.0833333333333" style="326" customWidth="1"/>
    <col min="2815" max="2815" width="9" style="326" hidden="1" customWidth="1"/>
    <col min="2816" max="2816" width="8.83333333333333" style="326" customWidth="1"/>
    <col min="2817" max="2817" width="12.3333333333333" style="326" customWidth="1"/>
    <col min="2818" max="2818" width="12" style="326" customWidth="1"/>
    <col min="2819" max="2819" width="8.75" style="326" customWidth="1"/>
    <col min="2820" max="2820" width="12" style="326" customWidth="1"/>
    <col min="2821" max="2821" width="11.25" style="326" customWidth="1"/>
    <col min="2822" max="2822" width="8.75" style="326" customWidth="1"/>
    <col min="2823" max="2823" width="9" style="326"/>
    <col min="2824" max="2827" width="9" style="326" hidden="1" customWidth="1"/>
    <col min="2828" max="2828" width="9.08333333333333" style="326" customWidth="1"/>
    <col min="2829" max="2829" width="9" style="326"/>
    <col min="2830" max="2830" width="9.08333333333333" style="326" customWidth="1"/>
    <col min="2831" max="3066" width="9" style="326"/>
    <col min="3067" max="3067" width="50.75" style="326" customWidth="1"/>
    <col min="3068" max="3068" width="14" style="326" customWidth="1"/>
    <col min="3069" max="3069" width="9" style="326" hidden="1" customWidth="1"/>
    <col min="3070" max="3070" width="12.0833333333333" style="326" customWidth="1"/>
    <col min="3071" max="3071" width="9" style="326" hidden="1" customWidth="1"/>
    <col min="3072" max="3072" width="8.83333333333333" style="326" customWidth="1"/>
    <col min="3073" max="3073" width="12.3333333333333" style="326" customWidth="1"/>
    <col min="3074" max="3074" width="12" style="326" customWidth="1"/>
    <col min="3075" max="3075" width="8.75" style="326" customWidth="1"/>
    <col min="3076" max="3076" width="12" style="326" customWidth="1"/>
    <col min="3077" max="3077" width="11.25" style="326" customWidth="1"/>
    <col min="3078" max="3078" width="8.75" style="326" customWidth="1"/>
    <col min="3079" max="3079" width="9" style="326"/>
    <col min="3080" max="3083" width="9" style="326" hidden="1" customWidth="1"/>
    <col min="3084" max="3084" width="9.08333333333333" style="326" customWidth="1"/>
    <col min="3085" max="3085" width="9" style="326"/>
    <col min="3086" max="3086" width="9.08333333333333" style="326" customWidth="1"/>
    <col min="3087" max="3322" width="9" style="326"/>
    <col min="3323" max="3323" width="50.75" style="326" customWidth="1"/>
    <col min="3324" max="3324" width="14" style="326" customWidth="1"/>
    <col min="3325" max="3325" width="9" style="326" hidden="1" customWidth="1"/>
    <col min="3326" max="3326" width="12.0833333333333" style="326" customWidth="1"/>
    <col min="3327" max="3327" width="9" style="326" hidden="1" customWidth="1"/>
    <col min="3328" max="3328" width="8.83333333333333" style="326" customWidth="1"/>
    <col min="3329" max="3329" width="12.3333333333333" style="326" customWidth="1"/>
    <col min="3330" max="3330" width="12" style="326" customWidth="1"/>
    <col min="3331" max="3331" width="8.75" style="326" customWidth="1"/>
    <col min="3332" max="3332" width="12" style="326" customWidth="1"/>
    <col min="3333" max="3333" width="11.25" style="326" customWidth="1"/>
    <col min="3334" max="3334" width="8.75" style="326" customWidth="1"/>
    <col min="3335" max="3335" width="9" style="326"/>
    <col min="3336" max="3339" width="9" style="326" hidden="1" customWidth="1"/>
    <col min="3340" max="3340" width="9.08333333333333" style="326" customWidth="1"/>
    <col min="3341" max="3341" width="9" style="326"/>
    <col min="3342" max="3342" width="9.08333333333333" style="326" customWidth="1"/>
    <col min="3343" max="3578" width="9" style="326"/>
    <col min="3579" max="3579" width="50.75" style="326" customWidth="1"/>
    <col min="3580" max="3580" width="14" style="326" customWidth="1"/>
    <col min="3581" max="3581" width="9" style="326" hidden="1" customWidth="1"/>
    <col min="3582" max="3582" width="12.0833333333333" style="326" customWidth="1"/>
    <col min="3583" max="3583" width="9" style="326" hidden="1" customWidth="1"/>
    <col min="3584" max="3584" width="8.83333333333333" style="326" customWidth="1"/>
    <col min="3585" max="3585" width="12.3333333333333" style="326" customWidth="1"/>
    <col min="3586" max="3586" width="12" style="326" customWidth="1"/>
    <col min="3587" max="3587" width="8.75" style="326" customWidth="1"/>
    <col min="3588" max="3588" width="12" style="326" customWidth="1"/>
    <col min="3589" max="3589" width="11.25" style="326" customWidth="1"/>
    <col min="3590" max="3590" width="8.75" style="326" customWidth="1"/>
    <col min="3591" max="3591" width="9" style="326"/>
    <col min="3592" max="3595" width="9" style="326" hidden="1" customWidth="1"/>
    <col min="3596" max="3596" width="9.08333333333333" style="326" customWidth="1"/>
    <col min="3597" max="3597" width="9" style="326"/>
    <col min="3598" max="3598" width="9.08333333333333" style="326" customWidth="1"/>
    <col min="3599" max="3834" width="9" style="326"/>
    <col min="3835" max="3835" width="50.75" style="326" customWidth="1"/>
    <col min="3836" max="3836" width="14" style="326" customWidth="1"/>
    <col min="3837" max="3837" width="9" style="326" hidden="1" customWidth="1"/>
    <col min="3838" max="3838" width="12.0833333333333" style="326" customWidth="1"/>
    <col min="3839" max="3839" width="9" style="326" hidden="1" customWidth="1"/>
    <col min="3840" max="3840" width="8.83333333333333" style="326" customWidth="1"/>
    <col min="3841" max="3841" width="12.3333333333333" style="326" customWidth="1"/>
    <col min="3842" max="3842" width="12" style="326" customWidth="1"/>
    <col min="3843" max="3843" width="8.75" style="326" customWidth="1"/>
    <col min="3844" max="3844" width="12" style="326" customWidth="1"/>
    <col min="3845" max="3845" width="11.25" style="326" customWidth="1"/>
    <col min="3846" max="3846" width="8.75" style="326" customWidth="1"/>
    <col min="3847" max="3847" width="9" style="326"/>
    <col min="3848" max="3851" width="9" style="326" hidden="1" customWidth="1"/>
    <col min="3852" max="3852" width="9.08333333333333" style="326" customWidth="1"/>
    <col min="3853" max="3853" width="9" style="326"/>
    <col min="3854" max="3854" width="9.08333333333333" style="326" customWidth="1"/>
    <col min="3855" max="4090" width="9" style="326"/>
    <col min="4091" max="4091" width="50.75" style="326" customWidth="1"/>
    <col min="4092" max="4092" width="14" style="326" customWidth="1"/>
    <col min="4093" max="4093" width="9" style="326" hidden="1" customWidth="1"/>
    <col min="4094" max="4094" width="12.0833333333333" style="326" customWidth="1"/>
    <col min="4095" max="4095" width="9" style="326" hidden="1" customWidth="1"/>
    <col min="4096" max="4096" width="8.83333333333333" style="326" customWidth="1"/>
    <col min="4097" max="4097" width="12.3333333333333" style="326" customWidth="1"/>
    <col min="4098" max="4098" width="12" style="326" customWidth="1"/>
    <col min="4099" max="4099" width="8.75" style="326" customWidth="1"/>
    <col min="4100" max="4100" width="12" style="326" customWidth="1"/>
    <col min="4101" max="4101" width="11.25" style="326" customWidth="1"/>
    <col min="4102" max="4102" width="8.75" style="326" customWidth="1"/>
    <col min="4103" max="4103" width="9" style="326"/>
    <col min="4104" max="4107" width="9" style="326" hidden="1" customWidth="1"/>
    <col min="4108" max="4108" width="9.08333333333333" style="326" customWidth="1"/>
    <col min="4109" max="4109" width="9" style="326"/>
    <col min="4110" max="4110" width="9.08333333333333" style="326" customWidth="1"/>
    <col min="4111" max="4346" width="9" style="326"/>
    <col min="4347" max="4347" width="50.75" style="326" customWidth="1"/>
    <col min="4348" max="4348" width="14" style="326" customWidth="1"/>
    <col min="4349" max="4349" width="9" style="326" hidden="1" customWidth="1"/>
    <col min="4350" max="4350" width="12.0833333333333" style="326" customWidth="1"/>
    <col min="4351" max="4351" width="9" style="326" hidden="1" customWidth="1"/>
    <col min="4352" max="4352" width="8.83333333333333" style="326" customWidth="1"/>
    <col min="4353" max="4353" width="12.3333333333333" style="326" customWidth="1"/>
    <col min="4354" max="4354" width="12" style="326" customWidth="1"/>
    <col min="4355" max="4355" width="8.75" style="326" customWidth="1"/>
    <col min="4356" max="4356" width="12" style="326" customWidth="1"/>
    <col min="4357" max="4357" width="11.25" style="326" customWidth="1"/>
    <col min="4358" max="4358" width="8.75" style="326" customWidth="1"/>
    <col min="4359" max="4359" width="9" style="326"/>
    <col min="4360" max="4363" width="9" style="326" hidden="1" customWidth="1"/>
    <col min="4364" max="4364" width="9.08333333333333" style="326" customWidth="1"/>
    <col min="4365" max="4365" width="9" style="326"/>
    <col min="4366" max="4366" width="9.08333333333333" style="326" customWidth="1"/>
    <col min="4367" max="4602" width="9" style="326"/>
    <col min="4603" max="4603" width="50.75" style="326" customWidth="1"/>
    <col min="4604" max="4604" width="14" style="326" customWidth="1"/>
    <col min="4605" max="4605" width="9" style="326" hidden="1" customWidth="1"/>
    <col min="4606" max="4606" width="12.0833333333333" style="326" customWidth="1"/>
    <col min="4607" max="4607" width="9" style="326" hidden="1" customWidth="1"/>
    <col min="4608" max="4608" width="8.83333333333333" style="326" customWidth="1"/>
    <col min="4609" max="4609" width="12.3333333333333" style="326" customWidth="1"/>
    <col min="4610" max="4610" width="12" style="326" customWidth="1"/>
    <col min="4611" max="4611" width="8.75" style="326" customWidth="1"/>
    <col min="4612" max="4612" width="12" style="326" customWidth="1"/>
    <col min="4613" max="4613" width="11.25" style="326" customWidth="1"/>
    <col min="4614" max="4614" width="8.75" style="326" customWidth="1"/>
    <col min="4615" max="4615" width="9" style="326"/>
    <col min="4616" max="4619" width="9" style="326" hidden="1" customWidth="1"/>
    <col min="4620" max="4620" width="9.08333333333333" style="326" customWidth="1"/>
    <col min="4621" max="4621" width="9" style="326"/>
    <col min="4622" max="4622" width="9.08333333333333" style="326" customWidth="1"/>
    <col min="4623" max="4858" width="9" style="326"/>
    <col min="4859" max="4859" width="50.75" style="326" customWidth="1"/>
    <col min="4860" max="4860" width="14" style="326" customWidth="1"/>
    <col min="4861" max="4861" width="9" style="326" hidden="1" customWidth="1"/>
    <col min="4862" max="4862" width="12.0833333333333" style="326" customWidth="1"/>
    <col min="4863" max="4863" width="9" style="326" hidden="1" customWidth="1"/>
    <col min="4864" max="4864" width="8.83333333333333" style="326" customWidth="1"/>
    <col min="4865" max="4865" width="12.3333333333333" style="326" customWidth="1"/>
    <col min="4866" max="4866" width="12" style="326" customWidth="1"/>
    <col min="4867" max="4867" width="8.75" style="326" customWidth="1"/>
    <col min="4868" max="4868" width="12" style="326" customWidth="1"/>
    <col min="4869" max="4869" width="11.25" style="326" customWidth="1"/>
    <col min="4870" max="4870" width="8.75" style="326" customWidth="1"/>
    <col min="4871" max="4871" width="9" style="326"/>
    <col min="4872" max="4875" width="9" style="326" hidden="1" customWidth="1"/>
    <col min="4876" max="4876" width="9.08333333333333" style="326" customWidth="1"/>
    <col min="4877" max="4877" width="9" style="326"/>
    <col min="4878" max="4878" width="9.08333333333333" style="326" customWidth="1"/>
    <col min="4879" max="5114" width="9" style="326"/>
    <col min="5115" max="5115" width="50.75" style="326" customWidth="1"/>
    <col min="5116" max="5116" width="14" style="326" customWidth="1"/>
    <col min="5117" max="5117" width="9" style="326" hidden="1" customWidth="1"/>
    <col min="5118" max="5118" width="12.0833333333333" style="326" customWidth="1"/>
    <col min="5119" max="5119" width="9" style="326" hidden="1" customWidth="1"/>
    <col min="5120" max="5120" width="8.83333333333333" style="326" customWidth="1"/>
    <col min="5121" max="5121" width="12.3333333333333" style="326" customWidth="1"/>
    <col min="5122" max="5122" width="12" style="326" customWidth="1"/>
    <col min="5123" max="5123" width="8.75" style="326" customWidth="1"/>
    <col min="5124" max="5124" width="12" style="326" customWidth="1"/>
    <col min="5125" max="5125" width="11.25" style="326" customWidth="1"/>
    <col min="5126" max="5126" width="8.75" style="326" customWidth="1"/>
    <col min="5127" max="5127" width="9" style="326"/>
    <col min="5128" max="5131" width="9" style="326" hidden="1" customWidth="1"/>
    <col min="5132" max="5132" width="9.08333333333333" style="326" customWidth="1"/>
    <col min="5133" max="5133" width="9" style="326"/>
    <col min="5134" max="5134" width="9.08333333333333" style="326" customWidth="1"/>
    <col min="5135" max="5370" width="9" style="326"/>
    <col min="5371" max="5371" width="50.75" style="326" customWidth="1"/>
    <col min="5372" max="5372" width="14" style="326" customWidth="1"/>
    <col min="5373" max="5373" width="9" style="326" hidden="1" customWidth="1"/>
    <col min="5374" max="5374" width="12.0833333333333" style="326" customWidth="1"/>
    <col min="5375" max="5375" width="9" style="326" hidden="1" customWidth="1"/>
    <col min="5376" max="5376" width="8.83333333333333" style="326" customWidth="1"/>
    <col min="5377" max="5377" width="12.3333333333333" style="326" customWidth="1"/>
    <col min="5378" max="5378" width="12" style="326" customWidth="1"/>
    <col min="5379" max="5379" width="8.75" style="326" customWidth="1"/>
    <col min="5380" max="5380" width="12" style="326" customWidth="1"/>
    <col min="5381" max="5381" width="11.25" style="326" customWidth="1"/>
    <col min="5382" max="5382" width="8.75" style="326" customWidth="1"/>
    <col min="5383" max="5383" width="9" style="326"/>
    <col min="5384" max="5387" width="9" style="326" hidden="1" customWidth="1"/>
    <col min="5388" max="5388" width="9.08333333333333" style="326" customWidth="1"/>
    <col min="5389" max="5389" width="9" style="326"/>
    <col min="5390" max="5390" width="9.08333333333333" style="326" customWidth="1"/>
    <col min="5391" max="5626" width="9" style="326"/>
    <col min="5627" max="5627" width="50.75" style="326" customWidth="1"/>
    <col min="5628" max="5628" width="14" style="326" customWidth="1"/>
    <col min="5629" max="5629" width="9" style="326" hidden="1" customWidth="1"/>
    <col min="5630" max="5630" width="12.0833333333333" style="326" customWidth="1"/>
    <col min="5631" max="5631" width="9" style="326" hidden="1" customWidth="1"/>
    <col min="5632" max="5632" width="8.83333333333333" style="326" customWidth="1"/>
    <col min="5633" max="5633" width="12.3333333333333" style="326" customWidth="1"/>
    <col min="5634" max="5634" width="12" style="326" customWidth="1"/>
    <col min="5635" max="5635" width="8.75" style="326" customWidth="1"/>
    <col min="5636" max="5636" width="12" style="326" customWidth="1"/>
    <col min="5637" max="5637" width="11.25" style="326" customWidth="1"/>
    <col min="5638" max="5638" width="8.75" style="326" customWidth="1"/>
    <col min="5639" max="5639" width="9" style="326"/>
    <col min="5640" max="5643" width="9" style="326" hidden="1" customWidth="1"/>
    <col min="5644" max="5644" width="9.08333333333333" style="326" customWidth="1"/>
    <col min="5645" max="5645" width="9" style="326"/>
    <col min="5646" max="5646" width="9.08333333333333" style="326" customWidth="1"/>
    <col min="5647" max="5882" width="9" style="326"/>
    <col min="5883" max="5883" width="50.75" style="326" customWidth="1"/>
    <col min="5884" max="5884" width="14" style="326" customWidth="1"/>
    <col min="5885" max="5885" width="9" style="326" hidden="1" customWidth="1"/>
    <col min="5886" max="5886" width="12.0833333333333" style="326" customWidth="1"/>
    <col min="5887" max="5887" width="9" style="326" hidden="1" customWidth="1"/>
    <col min="5888" max="5888" width="8.83333333333333" style="326" customWidth="1"/>
    <col min="5889" max="5889" width="12.3333333333333" style="326" customWidth="1"/>
    <col min="5890" max="5890" width="12" style="326" customWidth="1"/>
    <col min="5891" max="5891" width="8.75" style="326" customWidth="1"/>
    <col min="5892" max="5892" width="12" style="326" customWidth="1"/>
    <col min="5893" max="5893" width="11.25" style="326" customWidth="1"/>
    <col min="5894" max="5894" width="8.75" style="326" customWidth="1"/>
    <col min="5895" max="5895" width="9" style="326"/>
    <col min="5896" max="5899" width="9" style="326" hidden="1" customWidth="1"/>
    <col min="5900" max="5900" width="9.08333333333333" style="326" customWidth="1"/>
    <col min="5901" max="5901" width="9" style="326"/>
    <col min="5902" max="5902" width="9.08333333333333" style="326" customWidth="1"/>
    <col min="5903" max="6138" width="9" style="326"/>
    <col min="6139" max="6139" width="50.75" style="326" customWidth="1"/>
    <col min="6140" max="6140" width="14" style="326" customWidth="1"/>
    <col min="6141" max="6141" width="9" style="326" hidden="1" customWidth="1"/>
    <col min="6142" max="6142" width="12.0833333333333" style="326" customWidth="1"/>
    <col min="6143" max="6143" width="9" style="326" hidden="1" customWidth="1"/>
    <col min="6144" max="6144" width="8.83333333333333" style="326" customWidth="1"/>
    <col min="6145" max="6145" width="12.3333333333333" style="326" customWidth="1"/>
    <col min="6146" max="6146" width="12" style="326" customWidth="1"/>
    <col min="6147" max="6147" width="8.75" style="326" customWidth="1"/>
    <col min="6148" max="6148" width="12" style="326" customWidth="1"/>
    <col min="6149" max="6149" width="11.25" style="326" customWidth="1"/>
    <col min="6150" max="6150" width="8.75" style="326" customWidth="1"/>
    <col min="6151" max="6151" width="9" style="326"/>
    <col min="6152" max="6155" width="9" style="326" hidden="1" customWidth="1"/>
    <col min="6156" max="6156" width="9.08333333333333" style="326" customWidth="1"/>
    <col min="6157" max="6157" width="9" style="326"/>
    <col min="6158" max="6158" width="9.08333333333333" style="326" customWidth="1"/>
    <col min="6159" max="6394" width="9" style="326"/>
    <col min="6395" max="6395" width="50.75" style="326" customWidth="1"/>
    <col min="6396" max="6396" width="14" style="326" customWidth="1"/>
    <col min="6397" max="6397" width="9" style="326" hidden="1" customWidth="1"/>
    <col min="6398" max="6398" width="12.0833333333333" style="326" customWidth="1"/>
    <col min="6399" max="6399" width="9" style="326" hidden="1" customWidth="1"/>
    <col min="6400" max="6400" width="8.83333333333333" style="326" customWidth="1"/>
    <col min="6401" max="6401" width="12.3333333333333" style="326" customWidth="1"/>
    <col min="6402" max="6402" width="12" style="326" customWidth="1"/>
    <col min="6403" max="6403" width="8.75" style="326" customWidth="1"/>
    <col min="6404" max="6404" width="12" style="326" customWidth="1"/>
    <col min="6405" max="6405" width="11.25" style="326" customWidth="1"/>
    <col min="6406" max="6406" width="8.75" style="326" customWidth="1"/>
    <col min="6407" max="6407" width="9" style="326"/>
    <col min="6408" max="6411" width="9" style="326" hidden="1" customWidth="1"/>
    <col min="6412" max="6412" width="9.08333333333333" style="326" customWidth="1"/>
    <col min="6413" max="6413" width="9" style="326"/>
    <col min="6414" max="6414" width="9.08333333333333" style="326" customWidth="1"/>
    <col min="6415" max="6650" width="9" style="326"/>
    <col min="6651" max="6651" width="50.75" style="326" customWidth="1"/>
    <col min="6652" max="6652" width="14" style="326" customWidth="1"/>
    <col min="6653" max="6653" width="9" style="326" hidden="1" customWidth="1"/>
    <col min="6654" max="6654" width="12.0833333333333" style="326" customWidth="1"/>
    <col min="6655" max="6655" width="9" style="326" hidden="1" customWidth="1"/>
    <col min="6656" max="6656" width="8.83333333333333" style="326" customWidth="1"/>
    <col min="6657" max="6657" width="12.3333333333333" style="326" customWidth="1"/>
    <col min="6658" max="6658" width="12" style="326" customWidth="1"/>
    <col min="6659" max="6659" width="8.75" style="326" customWidth="1"/>
    <col min="6660" max="6660" width="12" style="326" customWidth="1"/>
    <col min="6661" max="6661" width="11.25" style="326" customWidth="1"/>
    <col min="6662" max="6662" width="8.75" style="326" customWidth="1"/>
    <col min="6663" max="6663" width="9" style="326"/>
    <col min="6664" max="6667" width="9" style="326" hidden="1" customWidth="1"/>
    <col min="6668" max="6668" width="9.08333333333333" style="326" customWidth="1"/>
    <col min="6669" max="6669" width="9" style="326"/>
    <col min="6670" max="6670" width="9.08333333333333" style="326" customWidth="1"/>
    <col min="6671" max="6906" width="9" style="326"/>
    <col min="6907" max="6907" width="50.75" style="326" customWidth="1"/>
    <col min="6908" max="6908" width="14" style="326" customWidth="1"/>
    <col min="6909" max="6909" width="9" style="326" hidden="1" customWidth="1"/>
    <col min="6910" max="6910" width="12.0833333333333" style="326" customWidth="1"/>
    <col min="6911" max="6911" width="9" style="326" hidden="1" customWidth="1"/>
    <col min="6912" max="6912" width="8.83333333333333" style="326" customWidth="1"/>
    <col min="6913" max="6913" width="12.3333333333333" style="326" customWidth="1"/>
    <col min="6914" max="6914" width="12" style="326" customWidth="1"/>
    <col min="6915" max="6915" width="8.75" style="326" customWidth="1"/>
    <col min="6916" max="6916" width="12" style="326" customWidth="1"/>
    <col min="6917" max="6917" width="11.25" style="326" customWidth="1"/>
    <col min="6918" max="6918" width="8.75" style="326" customWidth="1"/>
    <col min="6919" max="6919" width="9" style="326"/>
    <col min="6920" max="6923" width="9" style="326" hidden="1" customWidth="1"/>
    <col min="6924" max="6924" width="9.08333333333333" style="326" customWidth="1"/>
    <col min="6925" max="6925" width="9" style="326"/>
    <col min="6926" max="6926" width="9.08333333333333" style="326" customWidth="1"/>
    <col min="6927" max="7162" width="9" style="326"/>
    <col min="7163" max="7163" width="50.75" style="326" customWidth="1"/>
    <col min="7164" max="7164" width="14" style="326" customWidth="1"/>
    <col min="7165" max="7165" width="9" style="326" hidden="1" customWidth="1"/>
    <col min="7166" max="7166" width="12.0833333333333" style="326" customWidth="1"/>
    <col min="7167" max="7167" width="9" style="326" hidden="1" customWidth="1"/>
    <col min="7168" max="7168" width="8.83333333333333" style="326" customWidth="1"/>
    <col min="7169" max="7169" width="12.3333333333333" style="326" customWidth="1"/>
    <col min="7170" max="7170" width="12" style="326" customWidth="1"/>
    <col min="7171" max="7171" width="8.75" style="326" customWidth="1"/>
    <col min="7172" max="7172" width="12" style="326" customWidth="1"/>
    <col min="7173" max="7173" width="11.25" style="326" customWidth="1"/>
    <col min="7174" max="7174" width="8.75" style="326" customWidth="1"/>
    <col min="7175" max="7175" width="9" style="326"/>
    <col min="7176" max="7179" width="9" style="326" hidden="1" customWidth="1"/>
    <col min="7180" max="7180" width="9.08333333333333" style="326" customWidth="1"/>
    <col min="7181" max="7181" width="9" style="326"/>
    <col min="7182" max="7182" width="9.08333333333333" style="326" customWidth="1"/>
    <col min="7183" max="7418" width="9" style="326"/>
    <col min="7419" max="7419" width="50.75" style="326" customWidth="1"/>
    <col min="7420" max="7420" width="14" style="326" customWidth="1"/>
    <col min="7421" max="7421" width="9" style="326" hidden="1" customWidth="1"/>
    <col min="7422" max="7422" width="12.0833333333333" style="326" customWidth="1"/>
    <col min="7423" max="7423" width="9" style="326" hidden="1" customWidth="1"/>
    <col min="7424" max="7424" width="8.83333333333333" style="326" customWidth="1"/>
    <col min="7425" max="7425" width="12.3333333333333" style="326" customWidth="1"/>
    <col min="7426" max="7426" width="12" style="326" customWidth="1"/>
    <col min="7427" max="7427" width="8.75" style="326" customWidth="1"/>
    <col min="7428" max="7428" width="12" style="326" customWidth="1"/>
    <col min="7429" max="7429" width="11.25" style="326" customWidth="1"/>
    <col min="7430" max="7430" width="8.75" style="326" customWidth="1"/>
    <col min="7431" max="7431" width="9" style="326"/>
    <col min="7432" max="7435" width="9" style="326" hidden="1" customWidth="1"/>
    <col min="7436" max="7436" width="9.08333333333333" style="326" customWidth="1"/>
    <col min="7437" max="7437" width="9" style="326"/>
    <col min="7438" max="7438" width="9.08333333333333" style="326" customWidth="1"/>
    <col min="7439" max="7674" width="9" style="326"/>
    <col min="7675" max="7675" width="50.75" style="326" customWidth="1"/>
    <col min="7676" max="7676" width="14" style="326" customWidth="1"/>
    <col min="7677" max="7677" width="9" style="326" hidden="1" customWidth="1"/>
    <col min="7678" max="7678" width="12.0833333333333" style="326" customWidth="1"/>
    <col min="7679" max="7679" width="9" style="326" hidden="1" customWidth="1"/>
    <col min="7680" max="7680" width="8.83333333333333" style="326" customWidth="1"/>
    <col min="7681" max="7681" width="12.3333333333333" style="326" customWidth="1"/>
    <col min="7682" max="7682" width="12" style="326" customWidth="1"/>
    <col min="7683" max="7683" width="8.75" style="326" customWidth="1"/>
    <col min="7684" max="7684" width="12" style="326" customWidth="1"/>
    <col min="7685" max="7685" width="11.25" style="326" customWidth="1"/>
    <col min="7686" max="7686" width="8.75" style="326" customWidth="1"/>
    <col min="7687" max="7687" width="9" style="326"/>
    <col min="7688" max="7691" width="9" style="326" hidden="1" customWidth="1"/>
    <col min="7692" max="7692" width="9.08333333333333" style="326" customWidth="1"/>
    <col min="7693" max="7693" width="9" style="326"/>
    <col min="7694" max="7694" width="9.08333333333333" style="326" customWidth="1"/>
    <col min="7695" max="7930" width="9" style="326"/>
    <col min="7931" max="7931" width="50.75" style="326" customWidth="1"/>
    <col min="7932" max="7932" width="14" style="326" customWidth="1"/>
    <col min="7933" max="7933" width="9" style="326" hidden="1" customWidth="1"/>
    <col min="7934" max="7934" width="12.0833333333333" style="326" customWidth="1"/>
    <col min="7935" max="7935" width="9" style="326" hidden="1" customWidth="1"/>
    <col min="7936" max="7936" width="8.83333333333333" style="326" customWidth="1"/>
    <col min="7937" max="7937" width="12.3333333333333" style="326" customWidth="1"/>
    <col min="7938" max="7938" width="12" style="326" customWidth="1"/>
    <col min="7939" max="7939" width="8.75" style="326" customWidth="1"/>
    <col min="7940" max="7940" width="12" style="326" customWidth="1"/>
    <col min="7941" max="7941" width="11.25" style="326" customWidth="1"/>
    <col min="7942" max="7942" width="8.75" style="326" customWidth="1"/>
    <col min="7943" max="7943" width="9" style="326"/>
    <col min="7944" max="7947" width="9" style="326" hidden="1" customWidth="1"/>
    <col min="7948" max="7948" width="9.08333333333333" style="326" customWidth="1"/>
    <col min="7949" max="7949" width="9" style="326"/>
    <col min="7950" max="7950" width="9.08333333333333" style="326" customWidth="1"/>
    <col min="7951" max="8186" width="9" style="326"/>
    <col min="8187" max="8187" width="50.75" style="326" customWidth="1"/>
    <col min="8188" max="8188" width="14" style="326" customWidth="1"/>
    <col min="8189" max="8189" width="9" style="326" hidden="1" customWidth="1"/>
    <col min="8190" max="8190" width="12.0833333333333" style="326" customWidth="1"/>
    <col min="8191" max="8191" width="9" style="326" hidden="1" customWidth="1"/>
    <col min="8192" max="8192" width="8.83333333333333" style="326" customWidth="1"/>
    <col min="8193" max="8193" width="12.3333333333333" style="326" customWidth="1"/>
    <col min="8194" max="8194" width="12" style="326" customWidth="1"/>
    <col min="8195" max="8195" width="8.75" style="326" customWidth="1"/>
    <col min="8196" max="8196" width="12" style="326" customWidth="1"/>
    <col min="8197" max="8197" width="11.25" style="326" customWidth="1"/>
    <col min="8198" max="8198" width="8.75" style="326" customWidth="1"/>
    <col min="8199" max="8199" width="9" style="326"/>
    <col min="8200" max="8203" width="9" style="326" hidden="1" customWidth="1"/>
    <col min="8204" max="8204" width="9.08333333333333" style="326" customWidth="1"/>
    <col min="8205" max="8205" width="9" style="326"/>
    <col min="8206" max="8206" width="9.08333333333333" style="326" customWidth="1"/>
    <col min="8207" max="8442" width="9" style="326"/>
    <col min="8443" max="8443" width="50.75" style="326" customWidth="1"/>
    <col min="8444" max="8444" width="14" style="326" customWidth="1"/>
    <col min="8445" max="8445" width="9" style="326" hidden="1" customWidth="1"/>
    <col min="8446" max="8446" width="12.0833333333333" style="326" customWidth="1"/>
    <col min="8447" max="8447" width="9" style="326" hidden="1" customWidth="1"/>
    <col min="8448" max="8448" width="8.83333333333333" style="326" customWidth="1"/>
    <col min="8449" max="8449" width="12.3333333333333" style="326" customWidth="1"/>
    <col min="8450" max="8450" width="12" style="326" customWidth="1"/>
    <col min="8451" max="8451" width="8.75" style="326" customWidth="1"/>
    <col min="8452" max="8452" width="12" style="326" customWidth="1"/>
    <col min="8453" max="8453" width="11.25" style="326" customWidth="1"/>
    <col min="8454" max="8454" width="8.75" style="326" customWidth="1"/>
    <col min="8455" max="8455" width="9" style="326"/>
    <col min="8456" max="8459" width="9" style="326" hidden="1" customWidth="1"/>
    <col min="8460" max="8460" width="9.08333333333333" style="326" customWidth="1"/>
    <col min="8461" max="8461" width="9" style="326"/>
    <col min="8462" max="8462" width="9.08333333333333" style="326" customWidth="1"/>
    <col min="8463" max="8698" width="9" style="326"/>
    <col min="8699" max="8699" width="50.75" style="326" customWidth="1"/>
    <col min="8700" max="8700" width="14" style="326" customWidth="1"/>
    <col min="8701" max="8701" width="9" style="326" hidden="1" customWidth="1"/>
    <col min="8702" max="8702" width="12.0833333333333" style="326" customWidth="1"/>
    <col min="8703" max="8703" width="9" style="326" hidden="1" customWidth="1"/>
    <col min="8704" max="8704" width="8.83333333333333" style="326" customWidth="1"/>
    <col min="8705" max="8705" width="12.3333333333333" style="326" customWidth="1"/>
    <col min="8706" max="8706" width="12" style="326" customWidth="1"/>
    <col min="8707" max="8707" width="8.75" style="326" customWidth="1"/>
    <col min="8708" max="8708" width="12" style="326" customWidth="1"/>
    <col min="8709" max="8709" width="11.25" style="326" customWidth="1"/>
    <col min="8710" max="8710" width="8.75" style="326" customWidth="1"/>
    <col min="8711" max="8711" width="9" style="326"/>
    <col min="8712" max="8715" width="9" style="326" hidden="1" customWidth="1"/>
    <col min="8716" max="8716" width="9.08333333333333" style="326" customWidth="1"/>
    <col min="8717" max="8717" width="9" style="326"/>
    <col min="8718" max="8718" width="9.08333333333333" style="326" customWidth="1"/>
    <col min="8719" max="8954" width="9" style="326"/>
    <col min="8955" max="8955" width="50.75" style="326" customWidth="1"/>
    <col min="8956" max="8956" width="14" style="326" customWidth="1"/>
    <col min="8957" max="8957" width="9" style="326" hidden="1" customWidth="1"/>
    <col min="8958" max="8958" width="12.0833333333333" style="326" customWidth="1"/>
    <col min="8959" max="8959" width="9" style="326" hidden="1" customWidth="1"/>
    <col min="8960" max="8960" width="8.83333333333333" style="326" customWidth="1"/>
    <col min="8961" max="8961" width="12.3333333333333" style="326" customWidth="1"/>
    <col min="8962" max="8962" width="12" style="326" customWidth="1"/>
    <col min="8963" max="8963" width="8.75" style="326" customWidth="1"/>
    <col min="8964" max="8964" width="12" style="326" customWidth="1"/>
    <col min="8965" max="8965" width="11.25" style="326" customWidth="1"/>
    <col min="8966" max="8966" width="8.75" style="326" customWidth="1"/>
    <col min="8967" max="8967" width="9" style="326"/>
    <col min="8968" max="8971" width="9" style="326" hidden="1" customWidth="1"/>
    <col min="8972" max="8972" width="9.08333333333333" style="326" customWidth="1"/>
    <col min="8973" max="8973" width="9" style="326"/>
    <col min="8974" max="8974" width="9.08333333333333" style="326" customWidth="1"/>
    <col min="8975" max="9210" width="9" style="326"/>
    <col min="9211" max="9211" width="50.75" style="326" customWidth="1"/>
    <col min="9212" max="9212" width="14" style="326" customWidth="1"/>
    <col min="9213" max="9213" width="9" style="326" hidden="1" customWidth="1"/>
    <col min="9214" max="9214" width="12.0833333333333" style="326" customWidth="1"/>
    <col min="9215" max="9215" width="9" style="326" hidden="1" customWidth="1"/>
    <col min="9216" max="9216" width="8.83333333333333" style="326" customWidth="1"/>
    <col min="9217" max="9217" width="12.3333333333333" style="326" customWidth="1"/>
    <col min="9218" max="9218" width="12" style="326" customWidth="1"/>
    <col min="9219" max="9219" width="8.75" style="326" customWidth="1"/>
    <col min="9220" max="9220" width="12" style="326" customWidth="1"/>
    <col min="9221" max="9221" width="11.25" style="326" customWidth="1"/>
    <col min="9222" max="9222" width="8.75" style="326" customWidth="1"/>
    <col min="9223" max="9223" width="9" style="326"/>
    <col min="9224" max="9227" width="9" style="326" hidden="1" customWidth="1"/>
    <col min="9228" max="9228" width="9.08333333333333" style="326" customWidth="1"/>
    <col min="9229" max="9229" width="9" style="326"/>
    <col min="9230" max="9230" width="9.08333333333333" style="326" customWidth="1"/>
    <col min="9231" max="9466" width="9" style="326"/>
    <col min="9467" max="9467" width="50.75" style="326" customWidth="1"/>
    <col min="9468" max="9468" width="14" style="326" customWidth="1"/>
    <col min="9469" max="9469" width="9" style="326" hidden="1" customWidth="1"/>
    <col min="9470" max="9470" width="12.0833333333333" style="326" customWidth="1"/>
    <col min="9471" max="9471" width="9" style="326" hidden="1" customWidth="1"/>
    <col min="9472" max="9472" width="8.83333333333333" style="326" customWidth="1"/>
    <col min="9473" max="9473" width="12.3333333333333" style="326" customWidth="1"/>
    <col min="9474" max="9474" width="12" style="326" customWidth="1"/>
    <col min="9475" max="9475" width="8.75" style="326" customWidth="1"/>
    <col min="9476" max="9476" width="12" style="326" customWidth="1"/>
    <col min="9477" max="9477" width="11.25" style="326" customWidth="1"/>
    <col min="9478" max="9478" width="8.75" style="326" customWidth="1"/>
    <col min="9479" max="9479" width="9" style="326"/>
    <col min="9480" max="9483" width="9" style="326" hidden="1" customWidth="1"/>
    <col min="9484" max="9484" width="9.08333333333333" style="326" customWidth="1"/>
    <col min="9485" max="9485" width="9" style="326"/>
    <col min="9486" max="9486" width="9.08333333333333" style="326" customWidth="1"/>
    <col min="9487" max="9722" width="9" style="326"/>
    <col min="9723" max="9723" width="50.75" style="326" customWidth="1"/>
    <col min="9724" max="9724" width="14" style="326" customWidth="1"/>
    <col min="9725" max="9725" width="9" style="326" hidden="1" customWidth="1"/>
    <col min="9726" max="9726" width="12.0833333333333" style="326" customWidth="1"/>
    <col min="9727" max="9727" width="9" style="326" hidden="1" customWidth="1"/>
    <col min="9728" max="9728" width="8.83333333333333" style="326" customWidth="1"/>
    <col min="9729" max="9729" width="12.3333333333333" style="326" customWidth="1"/>
    <col min="9730" max="9730" width="12" style="326" customWidth="1"/>
    <col min="9731" max="9731" width="8.75" style="326" customWidth="1"/>
    <col min="9732" max="9732" width="12" style="326" customWidth="1"/>
    <col min="9733" max="9733" width="11.25" style="326" customWidth="1"/>
    <col min="9734" max="9734" width="8.75" style="326" customWidth="1"/>
    <col min="9735" max="9735" width="9" style="326"/>
    <col min="9736" max="9739" width="9" style="326" hidden="1" customWidth="1"/>
    <col min="9740" max="9740" width="9.08333333333333" style="326" customWidth="1"/>
    <col min="9741" max="9741" width="9" style="326"/>
    <col min="9742" max="9742" width="9.08333333333333" style="326" customWidth="1"/>
    <col min="9743" max="9978" width="9" style="326"/>
    <col min="9979" max="9979" width="50.75" style="326" customWidth="1"/>
    <col min="9980" max="9980" width="14" style="326" customWidth="1"/>
    <col min="9981" max="9981" width="9" style="326" hidden="1" customWidth="1"/>
    <col min="9982" max="9982" width="12.0833333333333" style="326" customWidth="1"/>
    <col min="9983" max="9983" width="9" style="326" hidden="1" customWidth="1"/>
    <col min="9984" max="9984" width="8.83333333333333" style="326" customWidth="1"/>
    <col min="9985" max="9985" width="12.3333333333333" style="326" customWidth="1"/>
    <col min="9986" max="9986" width="12" style="326" customWidth="1"/>
    <col min="9987" max="9987" width="8.75" style="326" customWidth="1"/>
    <col min="9988" max="9988" width="12" style="326" customWidth="1"/>
    <col min="9989" max="9989" width="11.25" style="326" customWidth="1"/>
    <col min="9990" max="9990" width="8.75" style="326" customWidth="1"/>
    <col min="9991" max="9991" width="9" style="326"/>
    <col min="9992" max="9995" width="9" style="326" hidden="1" customWidth="1"/>
    <col min="9996" max="9996" width="9.08333333333333" style="326" customWidth="1"/>
    <col min="9997" max="9997" width="9" style="326"/>
    <col min="9998" max="9998" width="9.08333333333333" style="326" customWidth="1"/>
    <col min="9999" max="10234" width="9" style="326"/>
    <col min="10235" max="10235" width="50.75" style="326" customWidth="1"/>
    <col min="10236" max="10236" width="14" style="326" customWidth="1"/>
    <col min="10237" max="10237" width="9" style="326" hidden="1" customWidth="1"/>
    <col min="10238" max="10238" width="12.0833333333333" style="326" customWidth="1"/>
    <col min="10239" max="10239" width="9" style="326" hidden="1" customWidth="1"/>
    <col min="10240" max="10240" width="8.83333333333333" style="326" customWidth="1"/>
    <col min="10241" max="10241" width="12.3333333333333" style="326" customWidth="1"/>
    <col min="10242" max="10242" width="12" style="326" customWidth="1"/>
    <col min="10243" max="10243" width="8.75" style="326" customWidth="1"/>
    <col min="10244" max="10244" width="12" style="326" customWidth="1"/>
    <col min="10245" max="10245" width="11.25" style="326" customWidth="1"/>
    <col min="10246" max="10246" width="8.75" style="326" customWidth="1"/>
    <col min="10247" max="10247" width="9" style="326"/>
    <col min="10248" max="10251" width="9" style="326" hidden="1" customWidth="1"/>
    <col min="10252" max="10252" width="9.08333333333333" style="326" customWidth="1"/>
    <col min="10253" max="10253" width="9" style="326"/>
    <col min="10254" max="10254" width="9.08333333333333" style="326" customWidth="1"/>
    <col min="10255" max="10490" width="9" style="326"/>
    <col min="10491" max="10491" width="50.75" style="326" customWidth="1"/>
    <col min="10492" max="10492" width="14" style="326" customWidth="1"/>
    <col min="10493" max="10493" width="9" style="326" hidden="1" customWidth="1"/>
    <col min="10494" max="10494" width="12.0833333333333" style="326" customWidth="1"/>
    <col min="10495" max="10495" width="9" style="326" hidden="1" customWidth="1"/>
    <col min="10496" max="10496" width="8.83333333333333" style="326" customWidth="1"/>
    <col min="10497" max="10497" width="12.3333333333333" style="326" customWidth="1"/>
    <col min="10498" max="10498" width="12" style="326" customWidth="1"/>
    <col min="10499" max="10499" width="8.75" style="326" customWidth="1"/>
    <col min="10500" max="10500" width="12" style="326" customWidth="1"/>
    <col min="10501" max="10501" width="11.25" style="326" customWidth="1"/>
    <col min="10502" max="10502" width="8.75" style="326" customWidth="1"/>
    <col min="10503" max="10503" width="9" style="326"/>
    <col min="10504" max="10507" width="9" style="326" hidden="1" customWidth="1"/>
    <col min="10508" max="10508" width="9.08333333333333" style="326" customWidth="1"/>
    <col min="10509" max="10509" width="9" style="326"/>
    <col min="10510" max="10510" width="9.08333333333333" style="326" customWidth="1"/>
    <col min="10511" max="10746" width="9" style="326"/>
    <col min="10747" max="10747" width="50.75" style="326" customWidth="1"/>
    <col min="10748" max="10748" width="14" style="326" customWidth="1"/>
    <col min="10749" max="10749" width="9" style="326" hidden="1" customWidth="1"/>
    <col min="10750" max="10750" width="12.0833333333333" style="326" customWidth="1"/>
    <col min="10751" max="10751" width="9" style="326" hidden="1" customWidth="1"/>
    <col min="10752" max="10752" width="8.83333333333333" style="326" customWidth="1"/>
    <col min="10753" max="10753" width="12.3333333333333" style="326" customWidth="1"/>
    <col min="10754" max="10754" width="12" style="326" customWidth="1"/>
    <col min="10755" max="10755" width="8.75" style="326" customWidth="1"/>
    <col min="10756" max="10756" width="12" style="326" customWidth="1"/>
    <col min="10757" max="10757" width="11.25" style="326" customWidth="1"/>
    <col min="10758" max="10758" width="8.75" style="326" customWidth="1"/>
    <col min="10759" max="10759" width="9" style="326"/>
    <col min="10760" max="10763" width="9" style="326" hidden="1" customWidth="1"/>
    <col min="10764" max="10764" width="9.08333333333333" style="326" customWidth="1"/>
    <col min="10765" max="10765" width="9" style="326"/>
    <col min="10766" max="10766" width="9.08333333333333" style="326" customWidth="1"/>
    <col min="10767" max="11002" width="9" style="326"/>
    <col min="11003" max="11003" width="50.75" style="326" customWidth="1"/>
    <col min="11004" max="11004" width="14" style="326" customWidth="1"/>
    <col min="11005" max="11005" width="9" style="326" hidden="1" customWidth="1"/>
    <col min="11006" max="11006" width="12.0833333333333" style="326" customWidth="1"/>
    <col min="11007" max="11007" width="9" style="326" hidden="1" customWidth="1"/>
    <col min="11008" max="11008" width="8.83333333333333" style="326" customWidth="1"/>
    <col min="11009" max="11009" width="12.3333333333333" style="326" customWidth="1"/>
    <col min="11010" max="11010" width="12" style="326" customWidth="1"/>
    <col min="11011" max="11011" width="8.75" style="326" customWidth="1"/>
    <col min="11012" max="11012" width="12" style="326" customWidth="1"/>
    <col min="11013" max="11013" width="11.25" style="326" customWidth="1"/>
    <col min="11014" max="11014" width="8.75" style="326" customWidth="1"/>
    <col min="11015" max="11015" width="9" style="326"/>
    <col min="11016" max="11019" width="9" style="326" hidden="1" customWidth="1"/>
    <col min="11020" max="11020" width="9.08333333333333" style="326" customWidth="1"/>
    <col min="11021" max="11021" width="9" style="326"/>
    <col min="11022" max="11022" width="9.08333333333333" style="326" customWidth="1"/>
    <col min="11023" max="11258" width="9" style="326"/>
    <col min="11259" max="11259" width="50.75" style="326" customWidth="1"/>
    <col min="11260" max="11260" width="14" style="326" customWidth="1"/>
    <col min="11261" max="11261" width="9" style="326" hidden="1" customWidth="1"/>
    <col min="11262" max="11262" width="12.0833333333333" style="326" customWidth="1"/>
    <col min="11263" max="11263" width="9" style="326" hidden="1" customWidth="1"/>
    <col min="11264" max="11264" width="8.83333333333333" style="326" customWidth="1"/>
    <col min="11265" max="11265" width="12.3333333333333" style="326" customWidth="1"/>
    <col min="11266" max="11266" width="12" style="326" customWidth="1"/>
    <col min="11267" max="11267" width="8.75" style="326" customWidth="1"/>
    <col min="11268" max="11268" width="12" style="326" customWidth="1"/>
    <col min="11269" max="11269" width="11.25" style="326" customWidth="1"/>
    <col min="11270" max="11270" width="8.75" style="326" customWidth="1"/>
    <col min="11271" max="11271" width="9" style="326"/>
    <col min="11272" max="11275" width="9" style="326" hidden="1" customWidth="1"/>
    <col min="11276" max="11276" width="9.08333333333333" style="326" customWidth="1"/>
    <col min="11277" max="11277" width="9" style="326"/>
    <col min="11278" max="11278" width="9.08333333333333" style="326" customWidth="1"/>
    <col min="11279" max="11514" width="9" style="326"/>
    <col min="11515" max="11515" width="50.75" style="326" customWidth="1"/>
    <col min="11516" max="11516" width="14" style="326" customWidth="1"/>
    <col min="11517" max="11517" width="9" style="326" hidden="1" customWidth="1"/>
    <col min="11518" max="11518" width="12.0833333333333" style="326" customWidth="1"/>
    <col min="11519" max="11519" width="9" style="326" hidden="1" customWidth="1"/>
    <col min="11520" max="11520" width="8.83333333333333" style="326" customWidth="1"/>
    <col min="11521" max="11521" width="12.3333333333333" style="326" customWidth="1"/>
    <col min="11522" max="11522" width="12" style="326" customWidth="1"/>
    <col min="11523" max="11523" width="8.75" style="326" customWidth="1"/>
    <col min="11524" max="11524" width="12" style="326" customWidth="1"/>
    <col min="11525" max="11525" width="11.25" style="326" customWidth="1"/>
    <col min="11526" max="11526" width="8.75" style="326" customWidth="1"/>
    <col min="11527" max="11527" width="9" style="326"/>
    <col min="11528" max="11531" width="9" style="326" hidden="1" customWidth="1"/>
    <col min="11532" max="11532" width="9.08333333333333" style="326" customWidth="1"/>
    <col min="11533" max="11533" width="9" style="326"/>
    <col min="11534" max="11534" width="9.08333333333333" style="326" customWidth="1"/>
    <col min="11535" max="11770" width="9" style="326"/>
    <col min="11771" max="11771" width="50.75" style="326" customWidth="1"/>
    <col min="11772" max="11772" width="14" style="326" customWidth="1"/>
    <col min="11773" max="11773" width="9" style="326" hidden="1" customWidth="1"/>
    <col min="11774" max="11774" width="12.0833333333333" style="326" customWidth="1"/>
    <col min="11775" max="11775" width="9" style="326" hidden="1" customWidth="1"/>
    <col min="11776" max="11776" width="8.83333333333333" style="326" customWidth="1"/>
    <col min="11777" max="11777" width="12.3333333333333" style="326" customWidth="1"/>
    <col min="11778" max="11778" width="12" style="326" customWidth="1"/>
    <col min="11779" max="11779" width="8.75" style="326" customWidth="1"/>
    <col min="11780" max="11780" width="12" style="326" customWidth="1"/>
    <col min="11781" max="11781" width="11.25" style="326" customWidth="1"/>
    <col min="11782" max="11782" width="8.75" style="326" customWidth="1"/>
    <col min="11783" max="11783" width="9" style="326"/>
    <col min="11784" max="11787" width="9" style="326" hidden="1" customWidth="1"/>
    <col min="11788" max="11788" width="9.08333333333333" style="326" customWidth="1"/>
    <col min="11789" max="11789" width="9" style="326"/>
    <col min="11790" max="11790" width="9.08333333333333" style="326" customWidth="1"/>
    <col min="11791" max="12026" width="9" style="326"/>
    <col min="12027" max="12027" width="50.75" style="326" customWidth="1"/>
    <col min="12028" max="12028" width="14" style="326" customWidth="1"/>
    <col min="12029" max="12029" width="9" style="326" hidden="1" customWidth="1"/>
    <col min="12030" max="12030" width="12.0833333333333" style="326" customWidth="1"/>
    <col min="12031" max="12031" width="9" style="326" hidden="1" customWidth="1"/>
    <col min="12032" max="12032" width="8.83333333333333" style="326" customWidth="1"/>
    <col min="12033" max="12033" width="12.3333333333333" style="326" customWidth="1"/>
    <col min="12034" max="12034" width="12" style="326" customWidth="1"/>
    <col min="12035" max="12035" width="8.75" style="326" customWidth="1"/>
    <col min="12036" max="12036" width="12" style="326" customWidth="1"/>
    <col min="12037" max="12037" width="11.25" style="326" customWidth="1"/>
    <col min="12038" max="12038" width="8.75" style="326" customWidth="1"/>
    <col min="12039" max="12039" width="9" style="326"/>
    <col min="12040" max="12043" width="9" style="326" hidden="1" customWidth="1"/>
    <col min="12044" max="12044" width="9.08333333333333" style="326" customWidth="1"/>
    <col min="12045" max="12045" width="9" style="326"/>
    <col min="12046" max="12046" width="9.08333333333333" style="326" customWidth="1"/>
    <col min="12047" max="12282" width="9" style="326"/>
    <col min="12283" max="12283" width="50.75" style="326" customWidth="1"/>
    <col min="12284" max="12284" width="14" style="326" customWidth="1"/>
    <col min="12285" max="12285" width="9" style="326" hidden="1" customWidth="1"/>
    <col min="12286" max="12286" width="12.0833333333333" style="326" customWidth="1"/>
    <col min="12287" max="12287" width="9" style="326" hidden="1" customWidth="1"/>
    <col min="12288" max="12288" width="8.83333333333333" style="326" customWidth="1"/>
    <col min="12289" max="12289" width="12.3333333333333" style="326" customWidth="1"/>
    <col min="12290" max="12290" width="12" style="326" customWidth="1"/>
    <col min="12291" max="12291" width="8.75" style="326" customWidth="1"/>
    <col min="12292" max="12292" width="12" style="326" customWidth="1"/>
    <col min="12293" max="12293" width="11.25" style="326" customWidth="1"/>
    <col min="12294" max="12294" width="8.75" style="326" customWidth="1"/>
    <col min="12295" max="12295" width="9" style="326"/>
    <col min="12296" max="12299" width="9" style="326" hidden="1" customWidth="1"/>
    <col min="12300" max="12300" width="9.08333333333333" style="326" customWidth="1"/>
    <col min="12301" max="12301" width="9" style="326"/>
    <col min="12302" max="12302" width="9.08333333333333" style="326" customWidth="1"/>
    <col min="12303" max="12538" width="9" style="326"/>
    <col min="12539" max="12539" width="50.75" style="326" customWidth="1"/>
    <col min="12540" max="12540" width="14" style="326" customWidth="1"/>
    <col min="12541" max="12541" width="9" style="326" hidden="1" customWidth="1"/>
    <col min="12542" max="12542" width="12.0833333333333" style="326" customWidth="1"/>
    <col min="12543" max="12543" width="9" style="326" hidden="1" customWidth="1"/>
    <col min="12544" max="12544" width="8.83333333333333" style="326" customWidth="1"/>
    <col min="12545" max="12545" width="12.3333333333333" style="326" customWidth="1"/>
    <col min="12546" max="12546" width="12" style="326" customWidth="1"/>
    <col min="12547" max="12547" width="8.75" style="326" customWidth="1"/>
    <col min="12548" max="12548" width="12" style="326" customWidth="1"/>
    <col min="12549" max="12549" width="11.25" style="326" customWidth="1"/>
    <col min="12550" max="12550" width="8.75" style="326" customWidth="1"/>
    <col min="12551" max="12551" width="9" style="326"/>
    <col min="12552" max="12555" width="9" style="326" hidden="1" customWidth="1"/>
    <col min="12556" max="12556" width="9.08333333333333" style="326" customWidth="1"/>
    <col min="12557" max="12557" width="9" style="326"/>
    <col min="12558" max="12558" width="9.08333333333333" style="326" customWidth="1"/>
    <col min="12559" max="12794" width="9" style="326"/>
    <col min="12795" max="12795" width="50.75" style="326" customWidth="1"/>
    <col min="12796" max="12796" width="14" style="326" customWidth="1"/>
    <col min="12797" max="12797" width="9" style="326" hidden="1" customWidth="1"/>
    <col min="12798" max="12798" width="12.0833333333333" style="326" customWidth="1"/>
    <col min="12799" max="12799" width="9" style="326" hidden="1" customWidth="1"/>
    <col min="12800" max="12800" width="8.83333333333333" style="326" customWidth="1"/>
    <col min="12801" max="12801" width="12.3333333333333" style="326" customWidth="1"/>
    <col min="12802" max="12802" width="12" style="326" customWidth="1"/>
    <col min="12803" max="12803" width="8.75" style="326" customWidth="1"/>
    <col min="12804" max="12804" width="12" style="326" customWidth="1"/>
    <col min="12805" max="12805" width="11.25" style="326" customWidth="1"/>
    <col min="12806" max="12806" width="8.75" style="326" customWidth="1"/>
    <col min="12807" max="12807" width="9" style="326"/>
    <col min="12808" max="12811" width="9" style="326" hidden="1" customWidth="1"/>
    <col min="12812" max="12812" width="9.08333333333333" style="326" customWidth="1"/>
    <col min="12813" max="12813" width="9" style="326"/>
    <col min="12814" max="12814" width="9.08333333333333" style="326" customWidth="1"/>
    <col min="12815" max="13050" width="9" style="326"/>
    <col min="13051" max="13051" width="50.75" style="326" customWidth="1"/>
    <col min="13052" max="13052" width="14" style="326" customWidth="1"/>
    <col min="13053" max="13053" width="9" style="326" hidden="1" customWidth="1"/>
    <col min="13054" max="13054" width="12.0833333333333" style="326" customWidth="1"/>
    <col min="13055" max="13055" width="9" style="326" hidden="1" customWidth="1"/>
    <col min="13056" max="13056" width="8.83333333333333" style="326" customWidth="1"/>
    <col min="13057" max="13057" width="12.3333333333333" style="326" customWidth="1"/>
    <col min="13058" max="13058" width="12" style="326" customWidth="1"/>
    <col min="13059" max="13059" width="8.75" style="326" customWidth="1"/>
    <col min="13060" max="13060" width="12" style="326" customWidth="1"/>
    <col min="13061" max="13061" width="11.25" style="326" customWidth="1"/>
    <col min="13062" max="13062" width="8.75" style="326" customWidth="1"/>
    <col min="13063" max="13063" width="9" style="326"/>
    <col min="13064" max="13067" width="9" style="326" hidden="1" customWidth="1"/>
    <col min="13068" max="13068" width="9.08333333333333" style="326" customWidth="1"/>
    <col min="13069" max="13069" width="9" style="326"/>
    <col min="13070" max="13070" width="9.08333333333333" style="326" customWidth="1"/>
    <col min="13071" max="13306" width="9" style="326"/>
    <col min="13307" max="13307" width="50.75" style="326" customWidth="1"/>
    <col min="13308" max="13308" width="14" style="326" customWidth="1"/>
    <col min="13309" max="13309" width="9" style="326" hidden="1" customWidth="1"/>
    <col min="13310" max="13310" width="12.0833333333333" style="326" customWidth="1"/>
    <col min="13311" max="13311" width="9" style="326" hidden="1" customWidth="1"/>
    <col min="13312" max="13312" width="8.83333333333333" style="326" customWidth="1"/>
    <col min="13313" max="13313" width="12.3333333333333" style="326" customWidth="1"/>
    <col min="13314" max="13314" width="12" style="326" customWidth="1"/>
    <col min="13315" max="13315" width="8.75" style="326" customWidth="1"/>
    <col min="13316" max="13316" width="12" style="326" customWidth="1"/>
    <col min="13317" max="13317" width="11.25" style="326" customWidth="1"/>
    <col min="13318" max="13318" width="8.75" style="326" customWidth="1"/>
    <col min="13319" max="13319" width="9" style="326"/>
    <col min="13320" max="13323" width="9" style="326" hidden="1" customWidth="1"/>
    <col min="13324" max="13324" width="9.08333333333333" style="326" customWidth="1"/>
    <col min="13325" max="13325" width="9" style="326"/>
    <col min="13326" max="13326" width="9.08333333333333" style="326" customWidth="1"/>
    <col min="13327" max="13562" width="9" style="326"/>
    <col min="13563" max="13563" width="50.75" style="326" customWidth="1"/>
    <col min="13564" max="13564" width="14" style="326" customWidth="1"/>
    <col min="13565" max="13565" width="9" style="326" hidden="1" customWidth="1"/>
    <col min="13566" max="13566" width="12.0833333333333" style="326" customWidth="1"/>
    <col min="13567" max="13567" width="9" style="326" hidden="1" customWidth="1"/>
    <col min="13568" max="13568" width="8.83333333333333" style="326" customWidth="1"/>
    <col min="13569" max="13569" width="12.3333333333333" style="326" customWidth="1"/>
    <col min="13570" max="13570" width="12" style="326" customWidth="1"/>
    <col min="13571" max="13571" width="8.75" style="326" customWidth="1"/>
    <col min="13572" max="13572" width="12" style="326" customWidth="1"/>
    <col min="13573" max="13573" width="11.25" style="326" customWidth="1"/>
    <col min="13574" max="13574" width="8.75" style="326" customWidth="1"/>
    <col min="13575" max="13575" width="9" style="326"/>
    <col min="13576" max="13579" width="9" style="326" hidden="1" customWidth="1"/>
    <col min="13580" max="13580" width="9.08333333333333" style="326" customWidth="1"/>
    <col min="13581" max="13581" width="9" style="326"/>
    <col min="13582" max="13582" width="9.08333333333333" style="326" customWidth="1"/>
    <col min="13583" max="13818" width="9" style="326"/>
    <col min="13819" max="13819" width="50.75" style="326" customWidth="1"/>
    <col min="13820" max="13820" width="14" style="326" customWidth="1"/>
    <col min="13821" max="13821" width="9" style="326" hidden="1" customWidth="1"/>
    <col min="13822" max="13822" width="12.0833333333333" style="326" customWidth="1"/>
    <col min="13823" max="13823" width="9" style="326" hidden="1" customWidth="1"/>
    <col min="13824" max="13824" width="8.83333333333333" style="326" customWidth="1"/>
    <col min="13825" max="13825" width="12.3333333333333" style="326" customWidth="1"/>
    <col min="13826" max="13826" width="12" style="326" customWidth="1"/>
    <col min="13827" max="13827" width="8.75" style="326" customWidth="1"/>
    <col min="13828" max="13828" width="12" style="326" customWidth="1"/>
    <col min="13829" max="13829" width="11.25" style="326" customWidth="1"/>
    <col min="13830" max="13830" width="8.75" style="326" customWidth="1"/>
    <col min="13831" max="13831" width="9" style="326"/>
    <col min="13832" max="13835" width="9" style="326" hidden="1" customWidth="1"/>
    <col min="13836" max="13836" width="9.08333333333333" style="326" customWidth="1"/>
    <col min="13837" max="13837" width="9" style="326"/>
    <col min="13838" max="13838" width="9.08333333333333" style="326" customWidth="1"/>
    <col min="13839" max="14074" width="9" style="326"/>
    <col min="14075" max="14075" width="50.75" style="326" customWidth="1"/>
    <col min="14076" max="14076" width="14" style="326" customWidth="1"/>
    <col min="14077" max="14077" width="9" style="326" hidden="1" customWidth="1"/>
    <col min="14078" max="14078" width="12.0833333333333" style="326" customWidth="1"/>
    <col min="14079" max="14079" width="9" style="326" hidden="1" customWidth="1"/>
    <col min="14080" max="14080" width="8.83333333333333" style="326" customWidth="1"/>
    <col min="14081" max="14081" width="12.3333333333333" style="326" customWidth="1"/>
    <col min="14082" max="14082" width="12" style="326" customWidth="1"/>
    <col min="14083" max="14083" width="8.75" style="326" customWidth="1"/>
    <col min="14084" max="14084" width="12" style="326" customWidth="1"/>
    <col min="14085" max="14085" width="11.25" style="326" customWidth="1"/>
    <col min="14086" max="14086" width="8.75" style="326" customWidth="1"/>
    <col min="14087" max="14087" width="9" style="326"/>
    <col min="14088" max="14091" width="9" style="326" hidden="1" customWidth="1"/>
    <col min="14092" max="14092" width="9.08333333333333" style="326" customWidth="1"/>
    <col min="14093" max="14093" width="9" style="326"/>
    <col min="14094" max="14094" width="9.08333333333333" style="326" customWidth="1"/>
    <col min="14095" max="14330" width="9" style="326"/>
    <col min="14331" max="14331" width="50.75" style="326" customWidth="1"/>
    <col min="14332" max="14332" width="14" style="326" customWidth="1"/>
    <col min="14333" max="14333" width="9" style="326" hidden="1" customWidth="1"/>
    <col min="14334" max="14334" width="12.0833333333333" style="326" customWidth="1"/>
    <col min="14335" max="14335" width="9" style="326" hidden="1" customWidth="1"/>
    <col min="14336" max="14336" width="8.83333333333333" style="326" customWidth="1"/>
    <col min="14337" max="14337" width="12.3333333333333" style="326" customWidth="1"/>
    <col min="14338" max="14338" width="12" style="326" customWidth="1"/>
    <col min="14339" max="14339" width="8.75" style="326" customWidth="1"/>
    <col min="14340" max="14340" width="12" style="326" customWidth="1"/>
    <col min="14341" max="14341" width="11.25" style="326" customWidth="1"/>
    <col min="14342" max="14342" width="8.75" style="326" customWidth="1"/>
    <col min="14343" max="14343" width="9" style="326"/>
    <col min="14344" max="14347" width="9" style="326" hidden="1" customWidth="1"/>
    <col min="14348" max="14348" width="9.08333333333333" style="326" customWidth="1"/>
    <col min="14349" max="14349" width="9" style="326"/>
    <col min="14350" max="14350" width="9.08333333333333" style="326" customWidth="1"/>
    <col min="14351" max="14586" width="9" style="326"/>
    <col min="14587" max="14587" width="50.75" style="326" customWidth="1"/>
    <col min="14588" max="14588" width="14" style="326" customWidth="1"/>
    <col min="14589" max="14589" width="9" style="326" hidden="1" customWidth="1"/>
    <col min="14590" max="14590" width="12.0833333333333" style="326" customWidth="1"/>
    <col min="14591" max="14591" width="9" style="326" hidden="1" customWidth="1"/>
    <col min="14592" max="14592" width="8.83333333333333" style="326" customWidth="1"/>
    <col min="14593" max="14593" width="12.3333333333333" style="326" customWidth="1"/>
    <col min="14594" max="14594" width="12" style="326" customWidth="1"/>
    <col min="14595" max="14595" width="8.75" style="326" customWidth="1"/>
    <col min="14596" max="14596" width="12" style="326" customWidth="1"/>
    <col min="14597" max="14597" width="11.25" style="326" customWidth="1"/>
    <col min="14598" max="14598" width="8.75" style="326" customWidth="1"/>
    <col min="14599" max="14599" width="9" style="326"/>
    <col min="14600" max="14603" width="9" style="326" hidden="1" customWidth="1"/>
    <col min="14604" max="14604" width="9.08333333333333" style="326" customWidth="1"/>
    <col min="14605" max="14605" width="9" style="326"/>
    <col min="14606" max="14606" width="9.08333333333333" style="326" customWidth="1"/>
    <col min="14607" max="14842" width="9" style="326"/>
    <col min="14843" max="14843" width="50.75" style="326" customWidth="1"/>
    <col min="14844" max="14844" width="14" style="326" customWidth="1"/>
    <col min="14845" max="14845" width="9" style="326" hidden="1" customWidth="1"/>
    <col min="14846" max="14846" width="12.0833333333333" style="326" customWidth="1"/>
    <col min="14847" max="14847" width="9" style="326" hidden="1" customWidth="1"/>
    <col min="14848" max="14848" width="8.83333333333333" style="326" customWidth="1"/>
    <col min="14849" max="14849" width="12.3333333333333" style="326" customWidth="1"/>
    <col min="14850" max="14850" width="12" style="326" customWidth="1"/>
    <col min="14851" max="14851" width="8.75" style="326" customWidth="1"/>
    <col min="14852" max="14852" width="12" style="326" customWidth="1"/>
    <col min="14853" max="14853" width="11.25" style="326" customWidth="1"/>
    <col min="14854" max="14854" width="8.75" style="326" customWidth="1"/>
    <col min="14855" max="14855" width="9" style="326"/>
    <col min="14856" max="14859" width="9" style="326" hidden="1" customWidth="1"/>
    <col min="14860" max="14860" width="9.08333333333333" style="326" customWidth="1"/>
    <col min="14861" max="14861" width="9" style="326"/>
    <col min="14862" max="14862" width="9.08333333333333" style="326" customWidth="1"/>
    <col min="14863" max="15098" width="9" style="326"/>
    <col min="15099" max="15099" width="50.75" style="326" customWidth="1"/>
    <col min="15100" max="15100" width="14" style="326" customWidth="1"/>
    <col min="15101" max="15101" width="9" style="326" hidden="1" customWidth="1"/>
    <col min="15102" max="15102" width="12.0833333333333" style="326" customWidth="1"/>
    <col min="15103" max="15103" width="9" style="326" hidden="1" customWidth="1"/>
    <col min="15104" max="15104" width="8.83333333333333" style="326" customWidth="1"/>
    <col min="15105" max="15105" width="12.3333333333333" style="326" customWidth="1"/>
    <col min="15106" max="15106" width="12" style="326" customWidth="1"/>
    <col min="15107" max="15107" width="8.75" style="326" customWidth="1"/>
    <col min="15108" max="15108" width="12" style="326" customWidth="1"/>
    <col min="15109" max="15109" width="11.25" style="326" customWidth="1"/>
    <col min="15110" max="15110" width="8.75" style="326" customWidth="1"/>
    <col min="15111" max="15111" width="9" style="326"/>
    <col min="15112" max="15115" width="9" style="326" hidden="1" customWidth="1"/>
    <col min="15116" max="15116" width="9.08333333333333" style="326" customWidth="1"/>
    <col min="15117" max="15117" width="9" style="326"/>
    <col min="15118" max="15118" width="9.08333333333333" style="326" customWidth="1"/>
    <col min="15119" max="15354" width="9" style="326"/>
    <col min="15355" max="15355" width="50.75" style="326" customWidth="1"/>
    <col min="15356" max="15356" width="14" style="326" customWidth="1"/>
    <col min="15357" max="15357" width="9" style="326" hidden="1" customWidth="1"/>
    <col min="15358" max="15358" width="12.0833333333333" style="326" customWidth="1"/>
    <col min="15359" max="15359" width="9" style="326" hidden="1" customWidth="1"/>
    <col min="15360" max="15360" width="8.83333333333333" style="326" customWidth="1"/>
    <col min="15361" max="15361" width="12.3333333333333" style="326" customWidth="1"/>
    <col min="15362" max="15362" width="12" style="326" customWidth="1"/>
    <col min="15363" max="15363" width="8.75" style="326" customWidth="1"/>
    <col min="15364" max="15364" width="12" style="326" customWidth="1"/>
    <col min="15365" max="15365" width="11.25" style="326" customWidth="1"/>
    <col min="15366" max="15366" width="8.75" style="326" customWidth="1"/>
    <col min="15367" max="15367" width="9" style="326"/>
    <col min="15368" max="15371" width="9" style="326" hidden="1" customWidth="1"/>
    <col min="15372" max="15372" width="9.08333333333333" style="326" customWidth="1"/>
    <col min="15373" max="15373" width="9" style="326"/>
    <col min="15374" max="15374" width="9.08333333333333" style="326" customWidth="1"/>
    <col min="15375" max="15610" width="9" style="326"/>
    <col min="15611" max="15611" width="50.75" style="326" customWidth="1"/>
    <col min="15612" max="15612" width="14" style="326" customWidth="1"/>
    <col min="15613" max="15613" width="9" style="326" hidden="1" customWidth="1"/>
    <col min="15614" max="15614" width="12.0833333333333" style="326" customWidth="1"/>
    <col min="15615" max="15615" width="9" style="326" hidden="1" customWidth="1"/>
    <col min="15616" max="15616" width="8.83333333333333" style="326" customWidth="1"/>
    <col min="15617" max="15617" width="12.3333333333333" style="326" customWidth="1"/>
    <col min="15618" max="15618" width="12" style="326" customWidth="1"/>
    <col min="15619" max="15619" width="8.75" style="326" customWidth="1"/>
    <col min="15620" max="15620" width="12" style="326" customWidth="1"/>
    <col min="15621" max="15621" width="11.25" style="326" customWidth="1"/>
    <col min="15622" max="15622" width="8.75" style="326" customWidth="1"/>
    <col min="15623" max="15623" width="9" style="326"/>
    <col min="15624" max="15627" width="9" style="326" hidden="1" customWidth="1"/>
    <col min="15628" max="15628" width="9.08333333333333" style="326" customWidth="1"/>
    <col min="15629" max="15629" width="9" style="326"/>
    <col min="15630" max="15630" width="9.08333333333333" style="326" customWidth="1"/>
    <col min="15631" max="15866" width="9" style="326"/>
    <col min="15867" max="15867" width="50.75" style="326" customWidth="1"/>
    <col min="15868" max="15868" width="14" style="326" customWidth="1"/>
    <col min="15869" max="15869" width="9" style="326" hidden="1" customWidth="1"/>
    <col min="15870" max="15870" width="12.0833333333333" style="326" customWidth="1"/>
    <col min="15871" max="15871" width="9" style="326" hidden="1" customWidth="1"/>
    <col min="15872" max="15872" width="8.83333333333333" style="326" customWidth="1"/>
    <col min="15873" max="15873" width="12.3333333333333" style="326" customWidth="1"/>
    <col min="15874" max="15874" width="12" style="326" customWidth="1"/>
    <col min="15875" max="15875" width="8.75" style="326" customWidth="1"/>
    <col min="15876" max="15876" width="12" style="326" customWidth="1"/>
    <col min="15877" max="15877" width="11.25" style="326" customWidth="1"/>
    <col min="15878" max="15878" width="8.75" style="326" customWidth="1"/>
    <col min="15879" max="15879" width="9" style="326"/>
    <col min="15880" max="15883" width="9" style="326" hidden="1" customWidth="1"/>
    <col min="15884" max="15884" width="9.08333333333333" style="326" customWidth="1"/>
    <col min="15885" max="15885" width="9" style="326"/>
    <col min="15886" max="15886" width="9.08333333333333" style="326" customWidth="1"/>
    <col min="15887" max="16122" width="9" style="326"/>
    <col min="16123" max="16123" width="50.75" style="326" customWidth="1"/>
    <col min="16124" max="16124" width="14" style="326" customWidth="1"/>
    <col min="16125" max="16125" width="9" style="326" hidden="1" customWidth="1"/>
    <col min="16126" max="16126" width="12.0833333333333" style="326" customWidth="1"/>
    <col min="16127" max="16127" width="9" style="326" hidden="1" customWidth="1"/>
    <col min="16128" max="16128" width="8.83333333333333" style="326" customWidth="1"/>
    <col min="16129" max="16129" width="12.3333333333333" style="326" customWidth="1"/>
    <col min="16130" max="16130" width="12" style="326" customWidth="1"/>
    <col min="16131" max="16131" width="8.75" style="326" customWidth="1"/>
    <col min="16132" max="16132" width="12" style="326" customWidth="1"/>
    <col min="16133" max="16133" width="11.25" style="326" customWidth="1"/>
    <col min="16134" max="16134" width="8.75" style="326" customWidth="1"/>
    <col min="16135" max="16135" width="9" style="326"/>
    <col min="16136" max="16139" width="9" style="326" hidden="1" customWidth="1"/>
    <col min="16140" max="16140" width="9.08333333333333" style="326" customWidth="1"/>
    <col min="16141" max="16141" width="9" style="326"/>
    <col min="16142" max="16142" width="9.08333333333333" style="326" customWidth="1"/>
    <col min="16143" max="16379" width="9" style="326"/>
    <col min="16380" max="16384" width="9" style="332"/>
  </cols>
  <sheetData>
    <row r="1" s="324" customFormat="1" ht="20.25" spans="1:15">
      <c r="A1" s="333" t="s">
        <v>149</v>
      </c>
      <c r="B1" s="334"/>
      <c r="E1" s="350"/>
      <c r="F1" s="351"/>
      <c r="H1" s="352"/>
      <c r="I1" s="392"/>
      <c r="N1" s="352"/>
      <c r="O1" s="352"/>
    </row>
    <row r="2" ht="21" spans="1:10">
      <c r="A2" s="335" t="s">
        <v>150</v>
      </c>
      <c r="B2" s="335"/>
      <c r="C2" s="335"/>
      <c r="D2" s="335"/>
      <c r="E2" s="335"/>
      <c r="F2" s="335"/>
      <c r="G2" s="335"/>
      <c r="H2" s="335"/>
      <c r="I2" s="393"/>
      <c r="J2" s="335"/>
    </row>
    <row r="3" spans="1:15">
      <c r="A3" s="336"/>
      <c r="B3" s="337"/>
      <c r="C3" s="338"/>
      <c r="D3" s="338"/>
      <c r="E3" s="338"/>
      <c r="F3" s="353"/>
      <c r="G3" s="354"/>
      <c r="H3" s="355"/>
      <c r="I3" s="394" t="s">
        <v>33</v>
      </c>
      <c r="J3" s="354"/>
      <c r="N3" s="355"/>
      <c r="O3" s="355"/>
    </row>
    <row r="4" ht="23.25" customHeight="1" spans="1:16">
      <c r="A4" s="339" t="s">
        <v>34</v>
      </c>
      <c r="B4" s="340" t="s">
        <v>35</v>
      </c>
      <c r="C4" s="340"/>
      <c r="D4" s="340"/>
      <c r="E4" s="340"/>
      <c r="F4" s="340"/>
      <c r="G4" s="340"/>
      <c r="H4" s="340" t="s">
        <v>36</v>
      </c>
      <c r="I4" s="395"/>
      <c r="J4" s="340"/>
      <c r="N4" s="360"/>
      <c r="O4" s="360"/>
      <c r="P4" s="338"/>
    </row>
    <row r="5" ht="23.25" customHeight="1" spans="1:16">
      <c r="A5" s="341"/>
      <c r="B5" s="342" t="s">
        <v>37</v>
      </c>
      <c r="C5" s="342" t="s">
        <v>38</v>
      </c>
      <c r="D5" s="342" t="s">
        <v>39</v>
      </c>
      <c r="E5" s="356" t="s">
        <v>151</v>
      </c>
      <c r="F5" s="340" t="s">
        <v>41</v>
      </c>
      <c r="G5" s="340"/>
      <c r="H5" s="342" t="s">
        <v>42</v>
      </c>
      <c r="I5" s="340" t="s">
        <v>152</v>
      </c>
      <c r="J5" s="340"/>
      <c r="N5" s="361"/>
      <c r="O5" s="361"/>
      <c r="P5" s="338"/>
    </row>
    <row r="6" ht="23.25" customHeight="1" spans="1:16">
      <c r="A6" s="343"/>
      <c r="B6" s="342"/>
      <c r="C6" s="342"/>
      <c r="D6" s="342"/>
      <c r="E6" s="357"/>
      <c r="F6" s="340" t="s">
        <v>44</v>
      </c>
      <c r="G6" s="358" t="s">
        <v>45</v>
      </c>
      <c r="H6" s="342"/>
      <c r="I6" s="359" t="s">
        <v>44</v>
      </c>
      <c r="J6" s="358" t="s">
        <v>45</v>
      </c>
      <c r="N6" s="361"/>
      <c r="O6" s="361"/>
      <c r="P6" s="338"/>
    </row>
    <row r="7" s="325" customFormat="1" ht="16.5" customHeight="1" spans="1:16">
      <c r="A7" s="344" t="s">
        <v>153</v>
      </c>
      <c r="B7" s="345">
        <f>B8+B20+B29+B39+B50+B61+B72+B80+B89+B90+B99+B110+B111+B118+B119+B125+B132+B139+B146+B153+B160+B168+B174+B180+B187+B222+B202+B209+B216</f>
        <v>364501</v>
      </c>
      <c r="C7" s="345">
        <f>C8+C20+C29+C39+C50+C61+C72+C80+C89+C90+C99+C110+C111+C118+C119+C125+C132+C139+C146+C153+C160+C168+C174+C180+C187+C222+C202+C209+C216</f>
        <v>361958</v>
      </c>
      <c r="D7" s="346">
        <f>C7/B7*100</f>
        <v>99.3023338756272</v>
      </c>
      <c r="E7" s="345">
        <f>E8+E20+E29+E39+E50+E61+E72+E80+E89+E90+E99+E110+E111+E118+E119+E125+E132+E139+E146+E153+E160+E168+E174+E180+E187+E222+E202+E209+E216</f>
        <v>324582</v>
      </c>
      <c r="F7" s="345">
        <f>C7-E7</f>
        <v>37376</v>
      </c>
      <c r="G7" s="346">
        <f>F7/E7*100</f>
        <v>11.5151179054908</v>
      </c>
      <c r="H7" s="345">
        <f>H8+H20+H29+H39+H50+H61+H72+H80+H89+H90+H99+H110+H111+H118+H119+H125+H132+H139+H146+H153+H160+H168+H174+H180+H187+H222+H202+H209+H216</f>
        <v>365898.820565</v>
      </c>
      <c r="I7" s="345">
        <f>H7-B7</f>
        <v>1397.82056499994</v>
      </c>
      <c r="J7" s="349">
        <f>I7/B7*100</f>
        <v>0.383488814845486</v>
      </c>
      <c r="L7" s="325">
        <f>B7+C7+D7+F7+G7+H7+I7+J7</f>
        <v>1131242.8420706</v>
      </c>
      <c r="N7" s="362"/>
      <c r="O7" s="362"/>
      <c r="P7" s="364"/>
    </row>
    <row r="8" s="326" customFormat="1" ht="16.5" customHeight="1" spans="1:16">
      <c r="A8" s="347" t="s">
        <v>154</v>
      </c>
      <c r="B8" s="348">
        <v>6244</v>
      </c>
      <c r="C8" s="348">
        <v>7040</v>
      </c>
      <c r="D8" s="349">
        <f>C8/B8*100</f>
        <v>112.748238308776</v>
      </c>
      <c r="E8" s="348">
        <v>6160</v>
      </c>
      <c r="F8" s="345">
        <f>C8-E8</f>
        <v>880</v>
      </c>
      <c r="G8" s="346">
        <f>F8/E8*100</f>
        <v>14.2857142857143</v>
      </c>
      <c r="H8" s="348">
        <f>SUM(H9:H19)</f>
        <v>6797.080767</v>
      </c>
      <c r="I8" s="345">
        <f>H8-B8</f>
        <v>553.080766999999</v>
      </c>
      <c r="J8" s="349">
        <f>I8/B8*100</f>
        <v>8.85779575592568</v>
      </c>
      <c r="K8" s="325"/>
      <c r="L8" s="325">
        <f t="shared" ref="L8:L71" si="0">B8+C8+D8+F8+G8+H8+I8+J8</f>
        <v>21650.0532823504</v>
      </c>
      <c r="M8" s="325"/>
      <c r="N8" s="363"/>
      <c r="O8" s="363"/>
      <c r="P8" s="364"/>
    </row>
    <row r="9" ht="16.5" customHeight="1" spans="1:16">
      <c r="A9" s="347" t="s">
        <v>155</v>
      </c>
      <c r="B9" s="348"/>
      <c r="C9" s="348"/>
      <c r="D9" s="349"/>
      <c r="E9" s="348"/>
      <c r="F9" s="345"/>
      <c r="G9" s="346"/>
      <c r="H9" s="348">
        <v>4443.681774</v>
      </c>
      <c r="I9" s="345"/>
      <c r="J9" s="349"/>
      <c r="K9" s="325"/>
      <c r="L9" s="325">
        <f t="shared" si="0"/>
        <v>4443.681774</v>
      </c>
      <c r="M9" s="325"/>
      <c r="N9" s="363"/>
      <c r="O9" s="363"/>
      <c r="P9" s="364"/>
    </row>
    <row r="10" ht="16.5" customHeight="1" spans="1:16">
      <c r="A10" s="347" t="s">
        <v>156</v>
      </c>
      <c r="B10" s="348"/>
      <c r="C10" s="348"/>
      <c r="D10" s="349"/>
      <c r="E10" s="348"/>
      <c r="F10" s="345"/>
      <c r="G10" s="346"/>
      <c r="H10" s="348">
        <v>555.688</v>
      </c>
      <c r="I10" s="345"/>
      <c r="J10" s="349"/>
      <c r="K10" s="325"/>
      <c r="L10" s="325">
        <f t="shared" si="0"/>
        <v>555.688</v>
      </c>
      <c r="M10" s="325"/>
      <c r="N10" s="363"/>
      <c r="O10" s="363"/>
      <c r="P10" s="364"/>
    </row>
    <row r="11" ht="16.5" hidden="1" customHeight="1" spans="1:16">
      <c r="A11" s="347" t="s">
        <v>157</v>
      </c>
      <c r="B11" s="348"/>
      <c r="C11" s="348"/>
      <c r="D11" s="349"/>
      <c r="E11" s="348"/>
      <c r="F11" s="345"/>
      <c r="G11" s="346"/>
      <c r="H11" s="348">
        <v>0</v>
      </c>
      <c r="I11" s="345"/>
      <c r="J11" s="349"/>
      <c r="K11" s="325"/>
      <c r="L11" s="325">
        <f t="shared" si="0"/>
        <v>0</v>
      </c>
      <c r="M11" s="325"/>
      <c r="N11" s="363"/>
      <c r="O11" s="363"/>
      <c r="P11" s="364"/>
    </row>
    <row r="12" ht="16.5" customHeight="1" spans="1:16">
      <c r="A12" s="347" t="s">
        <v>158</v>
      </c>
      <c r="B12" s="348"/>
      <c r="C12" s="348"/>
      <c r="D12" s="349"/>
      <c r="E12" s="348"/>
      <c r="F12" s="345"/>
      <c r="G12" s="346"/>
      <c r="H12" s="348">
        <v>450</v>
      </c>
      <c r="I12" s="345"/>
      <c r="J12" s="349"/>
      <c r="K12" s="325"/>
      <c r="L12" s="325">
        <f t="shared" si="0"/>
        <v>450</v>
      </c>
      <c r="M12" s="325"/>
      <c r="N12" s="363"/>
      <c r="O12" s="363"/>
      <c r="P12" s="364"/>
    </row>
    <row r="13" ht="16.5" customHeight="1" spans="1:16">
      <c r="A13" s="347" t="s">
        <v>159</v>
      </c>
      <c r="B13" s="348"/>
      <c r="C13" s="348"/>
      <c r="D13" s="349"/>
      <c r="E13" s="348"/>
      <c r="F13" s="345"/>
      <c r="G13" s="346"/>
      <c r="H13" s="348">
        <v>69.9</v>
      </c>
      <c r="I13" s="345"/>
      <c r="J13" s="349"/>
      <c r="K13" s="325"/>
      <c r="L13" s="325">
        <f t="shared" si="0"/>
        <v>69.9</v>
      </c>
      <c r="M13" s="325"/>
      <c r="N13" s="363"/>
      <c r="O13" s="363"/>
      <c r="P13" s="364"/>
    </row>
    <row r="14" ht="16.5" customHeight="1" spans="1:16">
      <c r="A14" s="347" t="s">
        <v>160</v>
      </c>
      <c r="B14" s="348"/>
      <c r="C14" s="348"/>
      <c r="D14" s="349"/>
      <c r="E14" s="348"/>
      <c r="F14" s="345"/>
      <c r="G14" s="346"/>
      <c r="H14" s="348">
        <v>80</v>
      </c>
      <c r="I14" s="345"/>
      <c r="J14" s="349"/>
      <c r="K14" s="325"/>
      <c r="L14" s="325">
        <f t="shared" si="0"/>
        <v>80</v>
      </c>
      <c r="M14" s="325"/>
      <c r="N14" s="363"/>
      <c r="O14" s="363"/>
      <c r="P14" s="364"/>
    </row>
    <row r="15" ht="16.5" customHeight="1" spans="1:16">
      <c r="A15" s="347" t="s">
        <v>161</v>
      </c>
      <c r="B15" s="348"/>
      <c r="C15" s="348"/>
      <c r="D15" s="349"/>
      <c r="E15" s="348"/>
      <c r="F15" s="345"/>
      <c r="G15" s="346"/>
      <c r="H15" s="348">
        <v>220</v>
      </c>
      <c r="I15" s="345"/>
      <c r="J15" s="349"/>
      <c r="K15" s="325"/>
      <c r="L15" s="325">
        <f t="shared" si="0"/>
        <v>220</v>
      </c>
      <c r="M15" s="325"/>
      <c r="N15" s="363"/>
      <c r="O15" s="363"/>
      <c r="P15" s="364"/>
    </row>
    <row r="16" ht="16.5" customHeight="1" spans="1:16">
      <c r="A16" s="347" t="s">
        <v>162</v>
      </c>
      <c r="B16" s="348"/>
      <c r="C16" s="348"/>
      <c r="D16" s="349"/>
      <c r="E16" s="348"/>
      <c r="F16" s="345"/>
      <c r="G16" s="346"/>
      <c r="H16" s="348">
        <v>533.29</v>
      </c>
      <c r="I16" s="345"/>
      <c r="J16" s="349"/>
      <c r="K16" s="325"/>
      <c r="L16" s="325">
        <f t="shared" si="0"/>
        <v>533.29</v>
      </c>
      <c r="M16" s="325"/>
      <c r="N16" s="363"/>
      <c r="O16" s="363"/>
      <c r="P16" s="364"/>
    </row>
    <row r="17" ht="16.5" customHeight="1" spans="1:16">
      <c r="A17" s="347" t="s">
        <v>163</v>
      </c>
      <c r="B17" s="348"/>
      <c r="C17" s="348"/>
      <c r="D17" s="349"/>
      <c r="E17" s="348"/>
      <c r="F17" s="345"/>
      <c r="G17" s="346"/>
      <c r="H17" s="348">
        <v>20</v>
      </c>
      <c r="I17" s="345"/>
      <c r="J17" s="349"/>
      <c r="K17" s="325"/>
      <c r="L17" s="325">
        <f t="shared" si="0"/>
        <v>20</v>
      </c>
      <c r="M17" s="325"/>
      <c r="N17" s="363"/>
      <c r="O17" s="363"/>
      <c r="P17" s="364"/>
    </row>
    <row r="18" ht="16.5" customHeight="1" spans="1:16">
      <c r="A18" s="347" t="s">
        <v>164</v>
      </c>
      <c r="B18" s="348"/>
      <c r="C18" s="348"/>
      <c r="D18" s="349"/>
      <c r="E18" s="348"/>
      <c r="F18" s="345"/>
      <c r="G18" s="346"/>
      <c r="H18" s="348">
        <v>172.520993</v>
      </c>
      <c r="I18" s="345"/>
      <c r="J18" s="349"/>
      <c r="K18" s="325"/>
      <c r="L18" s="325">
        <f t="shared" si="0"/>
        <v>172.520993</v>
      </c>
      <c r="M18" s="325"/>
      <c r="N18" s="363"/>
      <c r="O18" s="363"/>
      <c r="P18" s="364"/>
    </row>
    <row r="19" ht="16.5" customHeight="1" spans="1:16">
      <c r="A19" s="347" t="s">
        <v>165</v>
      </c>
      <c r="B19" s="348"/>
      <c r="C19" s="348"/>
      <c r="D19" s="349"/>
      <c r="E19" s="348"/>
      <c r="F19" s="345"/>
      <c r="G19" s="346"/>
      <c r="H19" s="348">
        <v>252</v>
      </c>
      <c r="I19" s="345"/>
      <c r="J19" s="349"/>
      <c r="K19" s="325"/>
      <c r="L19" s="325">
        <f t="shared" si="0"/>
        <v>252</v>
      </c>
      <c r="M19" s="325"/>
      <c r="N19" s="363"/>
      <c r="O19" s="363"/>
      <c r="P19" s="364"/>
    </row>
    <row r="20" s="326" customFormat="1" ht="16.5" customHeight="1" spans="1:16">
      <c r="A20" s="347" t="s">
        <v>166</v>
      </c>
      <c r="B20" s="348">
        <v>3924</v>
      </c>
      <c r="C20" s="348">
        <v>4800</v>
      </c>
      <c r="D20" s="349">
        <f>C20/B20*100</f>
        <v>122.324159021407</v>
      </c>
      <c r="E20" s="348">
        <v>4089</v>
      </c>
      <c r="F20" s="345">
        <f>C20-E20</f>
        <v>711</v>
      </c>
      <c r="G20" s="346">
        <f>F20/E20*100</f>
        <v>17.3881144534116</v>
      </c>
      <c r="H20" s="348">
        <f>SUM(H21:H28)</f>
        <v>4282.73754</v>
      </c>
      <c r="I20" s="345">
        <f>H20-B20</f>
        <v>358.737539999999</v>
      </c>
      <c r="J20" s="349">
        <f>I20/B20*100</f>
        <v>9.14213914373087</v>
      </c>
      <c r="K20" s="325"/>
      <c r="L20" s="325">
        <f t="shared" si="0"/>
        <v>14225.3294926185</v>
      </c>
      <c r="M20" s="325"/>
      <c r="N20" s="363"/>
      <c r="O20" s="363"/>
      <c r="P20" s="364"/>
    </row>
    <row r="21" ht="16.5" customHeight="1" spans="1:16">
      <c r="A21" s="347" t="s">
        <v>155</v>
      </c>
      <c r="B21" s="348"/>
      <c r="C21" s="348"/>
      <c r="D21" s="349"/>
      <c r="E21" s="348"/>
      <c r="F21" s="345"/>
      <c r="G21" s="346"/>
      <c r="H21" s="348">
        <v>3102.595728</v>
      </c>
      <c r="I21" s="345"/>
      <c r="J21" s="349"/>
      <c r="K21" s="325"/>
      <c r="L21" s="325">
        <f t="shared" si="0"/>
        <v>3102.595728</v>
      </c>
      <c r="M21" s="325"/>
      <c r="N21" s="363"/>
      <c r="O21" s="363"/>
      <c r="P21" s="364"/>
    </row>
    <row r="22" ht="16.5" customHeight="1" spans="1:16">
      <c r="A22" s="347" t="s">
        <v>156</v>
      </c>
      <c r="B22" s="348"/>
      <c r="C22" s="348"/>
      <c r="D22" s="349"/>
      <c r="E22" s="348"/>
      <c r="F22" s="345"/>
      <c r="G22" s="346"/>
      <c r="H22" s="348">
        <v>263.2</v>
      </c>
      <c r="I22" s="345"/>
      <c r="J22" s="349"/>
      <c r="K22" s="325"/>
      <c r="L22" s="325">
        <f t="shared" si="0"/>
        <v>263.2</v>
      </c>
      <c r="M22" s="325"/>
      <c r="N22" s="363"/>
      <c r="O22" s="363"/>
      <c r="P22" s="364"/>
    </row>
    <row r="23" ht="16.5" customHeight="1" spans="1:16">
      <c r="A23" s="347" t="s">
        <v>157</v>
      </c>
      <c r="B23" s="348"/>
      <c r="C23" s="348"/>
      <c r="D23" s="349"/>
      <c r="E23" s="348"/>
      <c r="F23" s="345"/>
      <c r="G23" s="346"/>
      <c r="H23" s="348">
        <v>11.1</v>
      </c>
      <c r="I23" s="345"/>
      <c r="J23" s="349"/>
      <c r="K23" s="325"/>
      <c r="L23" s="325">
        <f t="shared" si="0"/>
        <v>11.1</v>
      </c>
      <c r="M23" s="325"/>
      <c r="N23" s="363"/>
      <c r="O23" s="363"/>
      <c r="P23" s="364"/>
    </row>
    <row r="24" ht="16.5" customHeight="1" spans="1:16">
      <c r="A24" s="347" t="s">
        <v>167</v>
      </c>
      <c r="B24" s="348"/>
      <c r="C24" s="348"/>
      <c r="D24" s="349"/>
      <c r="E24" s="348"/>
      <c r="F24" s="345"/>
      <c r="G24" s="346"/>
      <c r="H24" s="348">
        <v>160</v>
      </c>
      <c r="I24" s="345"/>
      <c r="J24" s="349"/>
      <c r="K24" s="325"/>
      <c r="L24" s="325">
        <f t="shared" si="0"/>
        <v>160</v>
      </c>
      <c r="M24" s="325"/>
      <c r="N24" s="363"/>
      <c r="O24" s="363"/>
      <c r="P24" s="364"/>
    </row>
    <row r="25" ht="16.5" customHeight="1" spans="1:16">
      <c r="A25" s="347" t="s">
        <v>168</v>
      </c>
      <c r="B25" s="348"/>
      <c r="C25" s="348"/>
      <c r="D25" s="349"/>
      <c r="E25" s="348"/>
      <c r="F25" s="345"/>
      <c r="G25" s="346"/>
      <c r="H25" s="348">
        <v>161</v>
      </c>
      <c r="I25" s="345"/>
      <c r="J25" s="349"/>
      <c r="K25" s="325"/>
      <c r="L25" s="325">
        <f t="shared" si="0"/>
        <v>161</v>
      </c>
      <c r="M25" s="325"/>
      <c r="N25" s="363"/>
      <c r="O25" s="363"/>
      <c r="P25" s="364"/>
    </row>
    <row r="26" ht="16.5" customHeight="1" spans="1:16">
      <c r="A26" s="347" t="s">
        <v>169</v>
      </c>
      <c r="B26" s="348"/>
      <c r="C26" s="348"/>
      <c r="D26" s="349"/>
      <c r="E26" s="348"/>
      <c r="F26" s="345"/>
      <c r="G26" s="346"/>
      <c r="H26" s="348">
        <v>30</v>
      </c>
      <c r="I26" s="345"/>
      <c r="J26" s="349"/>
      <c r="K26" s="325"/>
      <c r="L26" s="325">
        <f t="shared" si="0"/>
        <v>30</v>
      </c>
      <c r="M26" s="325"/>
      <c r="N26" s="363"/>
      <c r="O26" s="363"/>
      <c r="P26" s="364"/>
    </row>
    <row r="27" ht="16.5" customHeight="1" spans="1:16">
      <c r="A27" s="347" t="s">
        <v>164</v>
      </c>
      <c r="B27" s="348"/>
      <c r="C27" s="348"/>
      <c r="D27" s="349"/>
      <c r="E27" s="348"/>
      <c r="F27" s="345"/>
      <c r="G27" s="346"/>
      <c r="H27" s="348">
        <v>222.541812</v>
      </c>
      <c r="I27" s="345"/>
      <c r="J27" s="349"/>
      <c r="K27" s="325"/>
      <c r="L27" s="325">
        <f t="shared" si="0"/>
        <v>222.541812</v>
      </c>
      <c r="M27" s="325"/>
      <c r="N27" s="363"/>
      <c r="O27" s="363"/>
      <c r="P27" s="364"/>
    </row>
    <row r="28" ht="16.5" customHeight="1" spans="1:16">
      <c r="A28" s="347" t="s">
        <v>170</v>
      </c>
      <c r="B28" s="348"/>
      <c r="C28" s="348"/>
      <c r="D28" s="349"/>
      <c r="E28" s="348"/>
      <c r="F28" s="345"/>
      <c r="G28" s="346"/>
      <c r="H28" s="348">
        <v>332.3</v>
      </c>
      <c r="I28" s="345"/>
      <c r="J28" s="349"/>
      <c r="K28" s="325"/>
      <c r="L28" s="325">
        <f t="shared" si="0"/>
        <v>332.3</v>
      </c>
      <c r="M28" s="325"/>
      <c r="N28" s="363"/>
      <c r="O28" s="363"/>
      <c r="P28" s="364"/>
    </row>
    <row r="29" s="326" customFormat="1" ht="16.5" customHeight="1" spans="1:16">
      <c r="A29" s="347" t="s">
        <v>171</v>
      </c>
      <c r="B29" s="348">
        <v>101076</v>
      </c>
      <c r="C29" s="348">
        <v>124190</v>
      </c>
      <c r="D29" s="349">
        <f>C29/B29*100</f>
        <v>122.867940955321</v>
      </c>
      <c r="E29" s="348">
        <v>101652</v>
      </c>
      <c r="F29" s="345">
        <f>C29-E29</f>
        <v>22538</v>
      </c>
      <c r="G29" s="346">
        <f>F29/E29*100</f>
        <v>22.1717231338291</v>
      </c>
      <c r="H29" s="348">
        <f>SUM(H30:H38)</f>
        <v>98885.031726</v>
      </c>
      <c r="I29" s="345">
        <f>H29-B29</f>
        <v>-2190.96827400001</v>
      </c>
      <c r="J29" s="349">
        <f>I29/B29*100</f>
        <v>-2.16764442004038</v>
      </c>
      <c r="K29" s="325"/>
      <c r="L29" s="325">
        <f t="shared" si="0"/>
        <v>344640.935471669</v>
      </c>
      <c r="M29" s="325"/>
      <c r="N29" s="363"/>
      <c r="O29" s="363"/>
      <c r="P29" s="364"/>
    </row>
    <row r="30" ht="16.5" customHeight="1" spans="1:16">
      <c r="A30" s="347" t="s">
        <v>155</v>
      </c>
      <c r="B30" s="348"/>
      <c r="C30" s="348"/>
      <c r="D30" s="349"/>
      <c r="E30" s="348"/>
      <c r="F30" s="345"/>
      <c r="G30" s="346"/>
      <c r="H30" s="348">
        <v>73424.854819</v>
      </c>
      <c r="I30" s="345"/>
      <c r="J30" s="349"/>
      <c r="K30" s="325"/>
      <c r="L30" s="325">
        <f t="shared" si="0"/>
        <v>73424.854819</v>
      </c>
      <c r="M30" s="325"/>
      <c r="N30" s="363"/>
      <c r="O30" s="363"/>
      <c r="P30" s="364"/>
    </row>
    <row r="31" ht="16.5" customHeight="1" spans="1:16">
      <c r="A31" s="347" t="s">
        <v>156</v>
      </c>
      <c r="B31" s="348"/>
      <c r="C31" s="348"/>
      <c r="D31" s="349"/>
      <c r="E31" s="348"/>
      <c r="F31" s="345"/>
      <c r="G31" s="346"/>
      <c r="H31" s="348">
        <v>6824.9868</v>
      </c>
      <c r="I31" s="345"/>
      <c r="J31" s="349"/>
      <c r="K31" s="325"/>
      <c r="L31" s="325">
        <f t="shared" si="0"/>
        <v>6824.9868</v>
      </c>
      <c r="M31" s="325"/>
      <c r="N31" s="363"/>
      <c r="O31" s="363"/>
      <c r="P31" s="364"/>
    </row>
    <row r="32" ht="16.5" customHeight="1" spans="1:16">
      <c r="A32" s="347" t="s">
        <v>157</v>
      </c>
      <c r="B32" s="348"/>
      <c r="C32" s="348"/>
      <c r="D32" s="349"/>
      <c r="E32" s="348"/>
      <c r="F32" s="345"/>
      <c r="G32" s="346"/>
      <c r="H32" s="348">
        <v>7901.152173</v>
      </c>
      <c r="I32" s="345"/>
      <c r="J32" s="349"/>
      <c r="K32" s="325"/>
      <c r="L32" s="325">
        <f t="shared" si="0"/>
        <v>7901.152173</v>
      </c>
      <c r="M32" s="325"/>
      <c r="N32" s="363"/>
      <c r="O32" s="363"/>
      <c r="P32" s="364"/>
    </row>
    <row r="33" ht="16.5" hidden="1" customHeight="1" spans="1:16">
      <c r="A33" s="347" t="s">
        <v>172</v>
      </c>
      <c r="B33" s="348"/>
      <c r="C33" s="348"/>
      <c r="D33" s="349"/>
      <c r="E33" s="348"/>
      <c r="F33" s="345"/>
      <c r="G33" s="346"/>
      <c r="H33" s="348">
        <v>0</v>
      </c>
      <c r="I33" s="345"/>
      <c r="J33" s="349"/>
      <c r="K33" s="325"/>
      <c r="L33" s="325">
        <f t="shared" si="0"/>
        <v>0</v>
      </c>
      <c r="M33" s="325"/>
      <c r="N33" s="363"/>
      <c r="O33" s="363"/>
      <c r="P33" s="364"/>
    </row>
    <row r="34" ht="16.5" customHeight="1" spans="1:16">
      <c r="A34" s="347" t="s">
        <v>173</v>
      </c>
      <c r="B34" s="348"/>
      <c r="C34" s="348"/>
      <c r="D34" s="349"/>
      <c r="E34" s="348"/>
      <c r="F34" s="345"/>
      <c r="G34" s="346"/>
      <c r="H34" s="348">
        <v>196</v>
      </c>
      <c r="I34" s="345"/>
      <c r="J34" s="349"/>
      <c r="K34" s="325"/>
      <c r="L34" s="325">
        <f t="shared" si="0"/>
        <v>196</v>
      </c>
      <c r="M34" s="325"/>
      <c r="N34" s="363"/>
      <c r="O34" s="363"/>
      <c r="P34" s="364"/>
    </row>
    <row r="35" ht="16.5" customHeight="1" spans="1:16">
      <c r="A35" s="347" t="s">
        <v>174</v>
      </c>
      <c r="B35" s="348"/>
      <c r="C35" s="348"/>
      <c r="D35" s="349"/>
      <c r="E35" s="348"/>
      <c r="F35" s="345"/>
      <c r="G35" s="346"/>
      <c r="H35" s="348">
        <v>2322</v>
      </c>
      <c r="I35" s="345"/>
      <c r="J35" s="349"/>
      <c r="K35" s="325"/>
      <c r="L35" s="325">
        <f t="shared" si="0"/>
        <v>2322</v>
      </c>
      <c r="M35" s="325"/>
      <c r="N35" s="363"/>
      <c r="O35" s="363"/>
      <c r="P35" s="364"/>
    </row>
    <row r="36" ht="16.5" hidden="1" customHeight="1" spans="1:16">
      <c r="A36" s="347" t="s">
        <v>175</v>
      </c>
      <c r="B36" s="348"/>
      <c r="C36" s="348"/>
      <c r="D36" s="349"/>
      <c r="E36" s="348"/>
      <c r="F36" s="345"/>
      <c r="G36" s="346"/>
      <c r="H36" s="348">
        <v>0</v>
      </c>
      <c r="I36" s="345"/>
      <c r="J36" s="349"/>
      <c r="K36" s="325"/>
      <c r="L36" s="325">
        <f t="shared" si="0"/>
        <v>0</v>
      </c>
      <c r="M36" s="325"/>
      <c r="N36" s="363"/>
      <c r="O36" s="363"/>
      <c r="P36" s="364"/>
    </row>
    <row r="37" ht="16.5" customHeight="1" spans="1:16">
      <c r="A37" s="347" t="s">
        <v>164</v>
      </c>
      <c r="B37" s="348"/>
      <c r="C37" s="348"/>
      <c r="D37" s="349"/>
      <c r="E37" s="348"/>
      <c r="F37" s="345"/>
      <c r="G37" s="346"/>
      <c r="H37" s="348">
        <v>3991.037934</v>
      </c>
      <c r="I37" s="345"/>
      <c r="J37" s="349"/>
      <c r="K37" s="325"/>
      <c r="L37" s="325">
        <f t="shared" si="0"/>
        <v>3991.037934</v>
      </c>
      <c r="M37" s="325"/>
      <c r="N37" s="363"/>
      <c r="O37" s="363"/>
      <c r="P37" s="364"/>
    </row>
    <row r="38" ht="16.5" customHeight="1" spans="1:16">
      <c r="A38" s="347" t="s">
        <v>176</v>
      </c>
      <c r="B38" s="348"/>
      <c r="C38" s="348"/>
      <c r="D38" s="349"/>
      <c r="E38" s="348"/>
      <c r="F38" s="345"/>
      <c r="G38" s="346"/>
      <c r="H38" s="348">
        <v>4225</v>
      </c>
      <c r="I38" s="345"/>
      <c r="J38" s="349"/>
      <c r="K38" s="325"/>
      <c r="L38" s="325">
        <f t="shared" si="0"/>
        <v>4225</v>
      </c>
      <c r="M38" s="325"/>
      <c r="N38" s="363"/>
      <c r="O38" s="363"/>
      <c r="P38" s="364"/>
    </row>
    <row r="39" s="326" customFormat="1" ht="16.5" customHeight="1" spans="1:16">
      <c r="A39" s="347" t="s">
        <v>177</v>
      </c>
      <c r="B39" s="348">
        <v>5931</v>
      </c>
      <c r="C39" s="348">
        <v>40801</v>
      </c>
      <c r="D39" s="349">
        <f>C39/B39*100</f>
        <v>687.927836789749</v>
      </c>
      <c r="E39" s="348">
        <v>40996</v>
      </c>
      <c r="F39" s="345">
        <f>C39-E39</f>
        <v>-195</v>
      </c>
      <c r="G39" s="346">
        <f>F39/E39*100</f>
        <v>-0.475656161576739</v>
      </c>
      <c r="H39" s="348">
        <f>SUM(H40:H49)</f>
        <v>6878.225967</v>
      </c>
      <c r="I39" s="345">
        <f>H39-B39</f>
        <v>947.225966999999</v>
      </c>
      <c r="J39" s="349">
        <f>I39/B39*100</f>
        <v>15.9707632271118</v>
      </c>
      <c r="K39" s="325"/>
      <c r="L39" s="325">
        <f t="shared" si="0"/>
        <v>55065.8748778553</v>
      </c>
      <c r="M39" s="325"/>
      <c r="N39" s="363"/>
      <c r="O39" s="363"/>
      <c r="P39" s="364"/>
    </row>
    <row r="40" ht="16.5" customHeight="1" spans="1:16">
      <c r="A40" s="347" t="s">
        <v>155</v>
      </c>
      <c r="B40" s="348"/>
      <c r="C40" s="348"/>
      <c r="D40" s="349"/>
      <c r="E40" s="348"/>
      <c r="F40" s="345"/>
      <c r="G40" s="346"/>
      <c r="H40" s="348">
        <f>4817.716132-2600</f>
        <v>2217.716132</v>
      </c>
      <c r="I40" s="345"/>
      <c r="J40" s="349"/>
      <c r="K40" s="325"/>
      <c r="L40" s="325">
        <f t="shared" si="0"/>
        <v>2217.716132</v>
      </c>
      <c r="M40" s="325"/>
      <c r="N40" s="363"/>
      <c r="O40" s="363"/>
      <c r="P40" s="364"/>
    </row>
    <row r="41" ht="16.5" customHeight="1" spans="1:16">
      <c r="A41" s="347" t="s">
        <v>156</v>
      </c>
      <c r="B41" s="348"/>
      <c r="C41" s="348"/>
      <c r="D41" s="349"/>
      <c r="E41" s="348"/>
      <c r="F41" s="345"/>
      <c r="G41" s="346"/>
      <c r="H41" s="348">
        <v>306.12</v>
      </c>
      <c r="I41" s="345"/>
      <c r="J41" s="349"/>
      <c r="K41" s="325"/>
      <c r="L41" s="325">
        <f t="shared" si="0"/>
        <v>306.12</v>
      </c>
      <c r="M41" s="325"/>
      <c r="N41" s="363"/>
      <c r="O41" s="363"/>
      <c r="P41" s="364"/>
    </row>
    <row r="42" ht="16.5" hidden="1" customHeight="1" spans="1:16">
      <c r="A42" s="347" t="s">
        <v>157</v>
      </c>
      <c r="B42" s="348"/>
      <c r="C42" s="348"/>
      <c r="D42" s="349"/>
      <c r="E42" s="348"/>
      <c r="F42" s="345"/>
      <c r="G42" s="346"/>
      <c r="H42" s="348">
        <v>0</v>
      </c>
      <c r="I42" s="345"/>
      <c r="J42" s="349"/>
      <c r="K42" s="325"/>
      <c r="L42" s="325">
        <f t="shared" si="0"/>
        <v>0</v>
      </c>
      <c r="M42" s="325"/>
      <c r="N42" s="363"/>
      <c r="O42" s="363"/>
      <c r="P42" s="364"/>
    </row>
    <row r="43" ht="16.5" hidden="1" customHeight="1" spans="1:16">
      <c r="A43" s="347" t="s">
        <v>178</v>
      </c>
      <c r="B43" s="348"/>
      <c r="C43" s="348"/>
      <c r="D43" s="349"/>
      <c r="E43" s="348"/>
      <c r="F43" s="345"/>
      <c r="G43" s="346"/>
      <c r="H43" s="348">
        <v>0</v>
      </c>
      <c r="I43" s="345"/>
      <c r="J43" s="349"/>
      <c r="K43" s="325"/>
      <c r="L43" s="325">
        <f t="shared" si="0"/>
        <v>0</v>
      </c>
      <c r="M43" s="325"/>
      <c r="N43" s="363"/>
      <c r="O43" s="363"/>
      <c r="P43" s="364"/>
    </row>
    <row r="44" ht="16.5" hidden="1" customHeight="1" spans="1:16">
      <c r="A44" s="347" t="s">
        <v>179</v>
      </c>
      <c r="B44" s="348"/>
      <c r="C44" s="348"/>
      <c r="D44" s="349"/>
      <c r="E44" s="348"/>
      <c r="F44" s="345"/>
      <c r="G44" s="346"/>
      <c r="H44" s="348">
        <v>0</v>
      </c>
      <c r="I44" s="345"/>
      <c r="J44" s="349"/>
      <c r="K44" s="325"/>
      <c r="L44" s="325">
        <f t="shared" si="0"/>
        <v>0</v>
      </c>
      <c r="M44" s="325"/>
      <c r="N44" s="363"/>
      <c r="O44" s="363"/>
      <c r="P44" s="364"/>
    </row>
    <row r="45" ht="16.5" customHeight="1" spans="1:16">
      <c r="A45" s="347" t="s">
        <v>180</v>
      </c>
      <c r="B45" s="348"/>
      <c r="C45" s="348"/>
      <c r="D45" s="349"/>
      <c r="E45" s="348"/>
      <c r="F45" s="345"/>
      <c r="G45" s="346"/>
      <c r="H45" s="348">
        <v>50</v>
      </c>
      <c r="I45" s="345"/>
      <c r="J45" s="349"/>
      <c r="K45" s="325"/>
      <c r="L45" s="325">
        <f t="shared" si="0"/>
        <v>50</v>
      </c>
      <c r="M45" s="325"/>
      <c r="N45" s="363"/>
      <c r="O45" s="363"/>
      <c r="P45" s="364"/>
    </row>
    <row r="46" ht="16.5" hidden="1" customHeight="1" spans="1:16">
      <c r="A46" s="347" t="s">
        <v>181</v>
      </c>
      <c r="B46" s="348"/>
      <c r="C46" s="348"/>
      <c r="D46" s="349"/>
      <c r="E46" s="348"/>
      <c r="F46" s="345"/>
      <c r="G46" s="346"/>
      <c r="H46" s="348">
        <v>0</v>
      </c>
      <c r="I46" s="345"/>
      <c r="J46" s="349"/>
      <c r="K46" s="325"/>
      <c r="L46" s="325">
        <f t="shared" si="0"/>
        <v>0</v>
      </c>
      <c r="M46" s="325"/>
      <c r="N46" s="363"/>
      <c r="O46" s="363"/>
      <c r="P46" s="364"/>
    </row>
    <row r="47" ht="16.5" hidden="1" customHeight="1" spans="1:16">
      <c r="A47" s="347" t="s">
        <v>182</v>
      </c>
      <c r="B47" s="348"/>
      <c r="C47" s="348">
        <v>0</v>
      </c>
      <c r="D47" s="349"/>
      <c r="E47" s="348"/>
      <c r="F47" s="345"/>
      <c r="G47" s="346"/>
      <c r="H47" s="348">
        <v>0</v>
      </c>
      <c r="I47" s="345"/>
      <c r="J47" s="349"/>
      <c r="K47" s="325"/>
      <c r="L47" s="325">
        <f t="shared" si="0"/>
        <v>0</v>
      </c>
      <c r="M47" s="325"/>
      <c r="N47" s="363"/>
      <c r="O47" s="363"/>
      <c r="P47" s="364"/>
    </row>
    <row r="48" ht="16.5" customHeight="1" spans="1:16">
      <c r="A48" s="347" t="s">
        <v>164</v>
      </c>
      <c r="B48" s="348"/>
      <c r="C48" s="348"/>
      <c r="D48" s="349"/>
      <c r="E48" s="348"/>
      <c r="F48" s="345"/>
      <c r="G48" s="346"/>
      <c r="H48" s="348">
        <v>463.569835</v>
      </c>
      <c r="I48" s="345"/>
      <c r="J48" s="349"/>
      <c r="K48" s="325"/>
      <c r="L48" s="325">
        <f t="shared" si="0"/>
        <v>463.569835</v>
      </c>
      <c r="M48" s="325"/>
      <c r="N48" s="363"/>
      <c r="O48" s="363"/>
      <c r="P48" s="364"/>
    </row>
    <row r="49" ht="16.5" customHeight="1" spans="1:16">
      <c r="A49" s="347" t="s">
        <v>183</v>
      </c>
      <c r="B49" s="348"/>
      <c r="C49" s="348"/>
      <c r="D49" s="349"/>
      <c r="E49" s="348"/>
      <c r="F49" s="345"/>
      <c r="G49" s="346"/>
      <c r="H49" s="348">
        <f>1240.82+2600</f>
        <v>3840.82</v>
      </c>
      <c r="I49" s="345"/>
      <c r="J49" s="349"/>
      <c r="K49" s="325"/>
      <c r="L49" s="325">
        <f t="shared" si="0"/>
        <v>3840.82</v>
      </c>
      <c r="M49" s="325"/>
      <c r="N49" s="363"/>
      <c r="O49" s="363"/>
      <c r="P49" s="364"/>
    </row>
    <row r="50" s="326" customFormat="1" ht="16.5" customHeight="1" spans="1:16">
      <c r="A50" s="347" t="s">
        <v>184</v>
      </c>
      <c r="B50" s="348">
        <v>3215</v>
      </c>
      <c r="C50" s="348">
        <v>4566</v>
      </c>
      <c r="D50" s="349">
        <f>C50/B50*100</f>
        <v>142.021772939347</v>
      </c>
      <c r="E50" s="348">
        <v>4563</v>
      </c>
      <c r="F50" s="345">
        <f>C50-E50</f>
        <v>3</v>
      </c>
      <c r="G50" s="346">
        <f>F50/E50*100</f>
        <v>0.0657462195923734</v>
      </c>
      <c r="H50" s="348">
        <f>SUM(H51:H60)</f>
        <v>3391.433349</v>
      </c>
      <c r="I50" s="345">
        <f>H50-B50</f>
        <v>176.433349</v>
      </c>
      <c r="J50" s="349">
        <f>I50/B50*100</f>
        <v>5.48781800933126</v>
      </c>
      <c r="K50" s="325"/>
      <c r="L50" s="325">
        <f t="shared" si="0"/>
        <v>11499.4420351683</v>
      </c>
      <c r="M50" s="325"/>
      <c r="N50" s="363"/>
      <c r="O50" s="363"/>
      <c r="P50" s="364"/>
    </row>
    <row r="51" ht="16.5" customHeight="1" spans="1:16">
      <c r="A51" s="347" t="s">
        <v>155</v>
      </c>
      <c r="B51" s="348"/>
      <c r="C51" s="348"/>
      <c r="D51" s="349"/>
      <c r="E51" s="348"/>
      <c r="F51" s="345"/>
      <c r="G51" s="346"/>
      <c r="H51" s="348">
        <v>2175.17517</v>
      </c>
      <c r="I51" s="345"/>
      <c r="J51" s="349"/>
      <c r="K51" s="325"/>
      <c r="L51" s="325">
        <f t="shared" si="0"/>
        <v>2175.17517</v>
      </c>
      <c r="M51" s="325"/>
      <c r="N51" s="363"/>
      <c r="O51" s="363"/>
      <c r="P51" s="364"/>
    </row>
    <row r="52" ht="16.5" customHeight="1" spans="1:16">
      <c r="A52" s="347" t="s">
        <v>156</v>
      </c>
      <c r="B52" s="348"/>
      <c r="C52" s="348"/>
      <c r="D52" s="349"/>
      <c r="E52" s="348"/>
      <c r="F52" s="345"/>
      <c r="G52" s="346"/>
      <c r="H52" s="348">
        <v>401.56</v>
      </c>
      <c r="I52" s="345"/>
      <c r="J52" s="349"/>
      <c r="K52" s="325"/>
      <c r="L52" s="325">
        <f t="shared" si="0"/>
        <v>401.56</v>
      </c>
      <c r="M52" s="325"/>
      <c r="N52" s="363"/>
      <c r="O52" s="363"/>
      <c r="P52" s="364"/>
    </row>
    <row r="53" ht="16.5" hidden="1" customHeight="1" spans="1:16">
      <c r="A53" s="347" t="s">
        <v>157</v>
      </c>
      <c r="B53" s="348"/>
      <c r="C53" s="348"/>
      <c r="D53" s="349"/>
      <c r="E53" s="348"/>
      <c r="F53" s="345"/>
      <c r="G53" s="346"/>
      <c r="H53" s="348">
        <v>0</v>
      </c>
      <c r="I53" s="345"/>
      <c r="J53" s="349"/>
      <c r="K53" s="325"/>
      <c r="L53" s="325">
        <f t="shared" si="0"/>
        <v>0</v>
      </c>
      <c r="M53" s="325"/>
      <c r="N53" s="363"/>
      <c r="O53" s="363"/>
      <c r="P53" s="364"/>
    </row>
    <row r="54" ht="16.5" hidden="1" customHeight="1" spans="1:16">
      <c r="A54" s="347" t="s">
        <v>185</v>
      </c>
      <c r="B54" s="348"/>
      <c r="C54" s="348"/>
      <c r="D54" s="349"/>
      <c r="E54" s="348"/>
      <c r="F54" s="345"/>
      <c r="G54" s="346"/>
      <c r="H54" s="348">
        <v>0</v>
      </c>
      <c r="I54" s="345"/>
      <c r="J54" s="349"/>
      <c r="K54" s="325"/>
      <c r="L54" s="325">
        <f t="shared" si="0"/>
        <v>0</v>
      </c>
      <c r="M54" s="325"/>
      <c r="N54" s="363"/>
      <c r="O54" s="363"/>
      <c r="P54" s="364"/>
    </row>
    <row r="55" ht="16.5" customHeight="1" spans="1:16">
      <c r="A55" s="347" t="s">
        <v>186</v>
      </c>
      <c r="B55" s="348"/>
      <c r="C55" s="348"/>
      <c r="D55" s="349"/>
      <c r="E55" s="348"/>
      <c r="F55" s="345"/>
      <c r="G55" s="346"/>
      <c r="H55" s="348">
        <v>203</v>
      </c>
      <c r="I55" s="345"/>
      <c r="J55" s="349"/>
      <c r="K55" s="325"/>
      <c r="L55" s="325">
        <f t="shared" si="0"/>
        <v>203</v>
      </c>
      <c r="M55" s="325"/>
      <c r="N55" s="363"/>
      <c r="O55" s="363"/>
      <c r="P55" s="364"/>
    </row>
    <row r="56" ht="16.5" customHeight="1" spans="1:16">
      <c r="A56" s="347" t="s">
        <v>187</v>
      </c>
      <c r="B56" s="348"/>
      <c r="C56" s="348"/>
      <c r="D56" s="349"/>
      <c r="E56" s="348"/>
      <c r="F56" s="345"/>
      <c r="G56" s="346"/>
      <c r="H56" s="348">
        <v>194</v>
      </c>
      <c r="I56" s="345"/>
      <c r="J56" s="349"/>
      <c r="K56" s="325"/>
      <c r="L56" s="325">
        <f t="shared" si="0"/>
        <v>194</v>
      </c>
      <c r="M56" s="325"/>
      <c r="N56" s="363"/>
      <c r="O56" s="363"/>
      <c r="P56" s="364"/>
    </row>
    <row r="57" ht="16.5" customHeight="1" spans="1:16">
      <c r="A57" s="347" t="s">
        <v>188</v>
      </c>
      <c r="B57" s="348"/>
      <c r="C57" s="348"/>
      <c r="D57" s="349"/>
      <c r="E57" s="348"/>
      <c r="F57" s="345"/>
      <c r="G57" s="346"/>
      <c r="H57" s="348">
        <v>58</v>
      </c>
      <c r="I57" s="345"/>
      <c r="J57" s="349"/>
      <c r="K57" s="325"/>
      <c r="L57" s="325">
        <f t="shared" si="0"/>
        <v>58</v>
      </c>
      <c r="M57" s="325"/>
      <c r="N57" s="363"/>
      <c r="O57" s="363"/>
      <c r="P57" s="364"/>
    </row>
    <row r="58" ht="16.5" customHeight="1" spans="1:16">
      <c r="A58" s="347" t="s">
        <v>189</v>
      </c>
      <c r="B58" s="348"/>
      <c r="C58" s="348"/>
      <c r="D58" s="349"/>
      <c r="E58" s="348"/>
      <c r="F58" s="345"/>
      <c r="G58" s="346"/>
      <c r="H58" s="348">
        <v>80</v>
      </c>
      <c r="I58" s="345"/>
      <c r="J58" s="349"/>
      <c r="K58" s="325"/>
      <c r="L58" s="325">
        <f t="shared" si="0"/>
        <v>80</v>
      </c>
      <c r="M58" s="325"/>
      <c r="N58" s="363"/>
      <c r="O58" s="363"/>
      <c r="P58" s="364"/>
    </row>
    <row r="59" ht="16.5" customHeight="1" spans="1:16">
      <c r="A59" s="347" t="s">
        <v>164</v>
      </c>
      <c r="B59" s="348"/>
      <c r="C59" s="348"/>
      <c r="D59" s="349"/>
      <c r="E59" s="348"/>
      <c r="F59" s="345"/>
      <c r="G59" s="346"/>
      <c r="H59" s="348">
        <v>242.698179</v>
      </c>
      <c r="I59" s="345"/>
      <c r="J59" s="349"/>
      <c r="K59" s="325"/>
      <c r="L59" s="325">
        <f t="shared" si="0"/>
        <v>242.698179</v>
      </c>
      <c r="M59" s="325"/>
      <c r="N59" s="363"/>
      <c r="O59" s="363"/>
      <c r="P59" s="364"/>
    </row>
    <row r="60" ht="16.5" customHeight="1" spans="1:16">
      <c r="A60" s="347" t="s">
        <v>190</v>
      </c>
      <c r="B60" s="348"/>
      <c r="C60" s="348"/>
      <c r="D60" s="349"/>
      <c r="E60" s="348"/>
      <c r="F60" s="345"/>
      <c r="G60" s="346"/>
      <c r="H60" s="348">
        <v>37</v>
      </c>
      <c r="I60" s="345"/>
      <c r="J60" s="349"/>
      <c r="K60" s="325"/>
      <c r="L60" s="325">
        <f t="shared" si="0"/>
        <v>37</v>
      </c>
      <c r="M60" s="325"/>
      <c r="N60" s="363"/>
      <c r="O60" s="363"/>
      <c r="P60" s="364"/>
    </row>
    <row r="61" s="326" customFormat="1" ht="16.5" customHeight="1" spans="1:16">
      <c r="A61" s="347" t="s">
        <v>191</v>
      </c>
      <c r="B61" s="348">
        <v>15476</v>
      </c>
      <c r="C61" s="348">
        <v>17179</v>
      </c>
      <c r="D61" s="349">
        <f>C61/B61*100</f>
        <v>111.004135435513</v>
      </c>
      <c r="E61" s="348">
        <v>20495</v>
      </c>
      <c r="F61" s="345">
        <f>C61-E61</f>
        <v>-3316</v>
      </c>
      <c r="G61" s="346">
        <f>F61/E61*100</f>
        <v>-16.1795559892657</v>
      </c>
      <c r="H61" s="348">
        <f>SUM(H62:H71)</f>
        <v>15418.309315</v>
      </c>
      <c r="I61" s="345">
        <f>H61-B61</f>
        <v>-57.6906849999996</v>
      </c>
      <c r="J61" s="349">
        <f>I61/B61*100</f>
        <v>-0.372775168002065</v>
      </c>
      <c r="K61" s="325"/>
      <c r="L61" s="325">
        <f t="shared" si="0"/>
        <v>44794.0704342782</v>
      </c>
      <c r="M61" s="325"/>
      <c r="N61" s="363"/>
      <c r="O61" s="363"/>
      <c r="P61" s="364"/>
    </row>
    <row r="62" ht="16.5" customHeight="1" spans="1:16">
      <c r="A62" s="347" t="s">
        <v>155</v>
      </c>
      <c r="B62" s="348"/>
      <c r="C62" s="348"/>
      <c r="D62" s="349"/>
      <c r="E62" s="348"/>
      <c r="F62" s="345"/>
      <c r="G62" s="346"/>
      <c r="H62" s="348">
        <v>12387.73385</v>
      </c>
      <c r="I62" s="345"/>
      <c r="J62" s="349"/>
      <c r="K62" s="325"/>
      <c r="L62" s="325">
        <f t="shared" si="0"/>
        <v>12387.73385</v>
      </c>
      <c r="M62" s="325"/>
      <c r="N62" s="363"/>
      <c r="O62" s="363"/>
      <c r="P62" s="364"/>
    </row>
    <row r="63" ht="16.5" customHeight="1" spans="1:16">
      <c r="A63" s="347" t="s">
        <v>156</v>
      </c>
      <c r="B63" s="348"/>
      <c r="C63" s="348"/>
      <c r="D63" s="349"/>
      <c r="E63" s="348"/>
      <c r="F63" s="345"/>
      <c r="G63" s="346"/>
      <c r="H63" s="348">
        <v>1069</v>
      </c>
      <c r="I63" s="345"/>
      <c r="J63" s="349"/>
      <c r="K63" s="325"/>
      <c r="L63" s="325">
        <f t="shared" si="0"/>
        <v>1069</v>
      </c>
      <c r="M63" s="325"/>
      <c r="N63" s="363"/>
      <c r="O63" s="363"/>
      <c r="P63" s="364"/>
    </row>
    <row r="64" ht="16.5" customHeight="1" spans="1:16">
      <c r="A64" s="347" t="s">
        <v>157</v>
      </c>
      <c r="B64" s="348"/>
      <c r="C64" s="348"/>
      <c r="D64" s="349"/>
      <c r="E64" s="348"/>
      <c r="F64" s="345"/>
      <c r="G64" s="346"/>
      <c r="H64" s="348">
        <v>20</v>
      </c>
      <c r="I64" s="345"/>
      <c r="J64" s="349"/>
      <c r="K64" s="325"/>
      <c r="L64" s="325">
        <f t="shared" si="0"/>
        <v>20</v>
      </c>
      <c r="M64" s="325"/>
      <c r="N64" s="363"/>
      <c r="O64" s="363"/>
      <c r="P64" s="364"/>
    </row>
    <row r="65" ht="16.5" customHeight="1" spans="1:16">
      <c r="A65" s="347" t="s">
        <v>192</v>
      </c>
      <c r="B65" s="348"/>
      <c r="C65" s="348"/>
      <c r="D65" s="349"/>
      <c r="E65" s="348"/>
      <c r="F65" s="345"/>
      <c r="G65" s="346"/>
      <c r="H65" s="348">
        <v>50</v>
      </c>
      <c r="I65" s="345"/>
      <c r="J65" s="349"/>
      <c r="K65" s="325"/>
      <c r="L65" s="325">
        <f t="shared" si="0"/>
        <v>50</v>
      </c>
      <c r="M65" s="325"/>
      <c r="N65" s="363"/>
      <c r="O65" s="363"/>
      <c r="P65" s="364"/>
    </row>
    <row r="66" ht="16.5" customHeight="1" spans="1:16">
      <c r="A66" s="347" t="s">
        <v>193</v>
      </c>
      <c r="B66" s="348"/>
      <c r="C66" s="348"/>
      <c r="D66" s="349"/>
      <c r="E66" s="348"/>
      <c r="F66" s="345"/>
      <c r="G66" s="346"/>
      <c r="H66" s="348">
        <v>60</v>
      </c>
      <c r="I66" s="345"/>
      <c r="J66" s="349"/>
      <c r="K66" s="325"/>
      <c r="L66" s="325">
        <f t="shared" si="0"/>
        <v>60</v>
      </c>
      <c r="M66" s="325"/>
      <c r="N66" s="363"/>
      <c r="O66" s="363"/>
      <c r="P66" s="364"/>
    </row>
    <row r="67" ht="16.5" customHeight="1" spans="1:16">
      <c r="A67" s="347" t="s">
        <v>194</v>
      </c>
      <c r="B67" s="348"/>
      <c r="C67" s="348"/>
      <c r="D67" s="349"/>
      <c r="E67" s="348"/>
      <c r="F67" s="345"/>
      <c r="G67" s="346"/>
      <c r="H67" s="348">
        <v>60</v>
      </c>
      <c r="I67" s="345"/>
      <c r="J67" s="349"/>
      <c r="K67" s="325"/>
      <c r="L67" s="325">
        <f t="shared" si="0"/>
        <v>60</v>
      </c>
      <c r="M67" s="325"/>
      <c r="N67" s="363"/>
      <c r="O67" s="363"/>
      <c r="P67" s="364"/>
    </row>
    <row r="68" ht="16.5" customHeight="1" spans="1:16">
      <c r="A68" s="347" t="s">
        <v>195</v>
      </c>
      <c r="B68" s="348"/>
      <c r="C68" s="348"/>
      <c r="D68" s="349"/>
      <c r="E68" s="348"/>
      <c r="F68" s="345"/>
      <c r="G68" s="346"/>
      <c r="H68" s="348">
        <v>80</v>
      </c>
      <c r="I68" s="345"/>
      <c r="J68" s="349"/>
      <c r="K68" s="325"/>
      <c r="L68" s="325">
        <f t="shared" si="0"/>
        <v>80</v>
      </c>
      <c r="M68" s="325"/>
      <c r="N68" s="363"/>
      <c r="O68" s="363"/>
      <c r="P68" s="364"/>
    </row>
    <row r="69" ht="16.5" customHeight="1" spans="1:16">
      <c r="A69" s="347" t="s">
        <v>196</v>
      </c>
      <c r="B69" s="348"/>
      <c r="C69" s="348"/>
      <c r="D69" s="349"/>
      <c r="E69" s="348"/>
      <c r="F69" s="345"/>
      <c r="G69" s="346"/>
      <c r="H69" s="348">
        <v>280</v>
      </c>
      <c r="I69" s="345"/>
      <c r="J69" s="349"/>
      <c r="K69" s="325"/>
      <c r="L69" s="325">
        <f t="shared" si="0"/>
        <v>280</v>
      </c>
      <c r="M69" s="325"/>
      <c r="N69" s="363"/>
      <c r="O69" s="363"/>
      <c r="P69" s="364"/>
    </row>
    <row r="70" ht="16.5" customHeight="1" spans="1:16">
      <c r="A70" s="347" t="s">
        <v>164</v>
      </c>
      <c r="B70" s="348"/>
      <c r="C70" s="348"/>
      <c r="D70" s="349"/>
      <c r="E70" s="348"/>
      <c r="F70" s="345"/>
      <c r="G70" s="346"/>
      <c r="H70" s="348">
        <v>1170.575465</v>
      </c>
      <c r="I70" s="345"/>
      <c r="J70" s="349"/>
      <c r="K70" s="325"/>
      <c r="L70" s="325">
        <f t="shared" si="0"/>
        <v>1170.575465</v>
      </c>
      <c r="M70" s="325"/>
      <c r="N70" s="363"/>
      <c r="O70" s="363"/>
      <c r="P70" s="364"/>
    </row>
    <row r="71" ht="16.5" customHeight="1" spans="1:16">
      <c r="A71" s="347" t="s">
        <v>197</v>
      </c>
      <c r="B71" s="348"/>
      <c r="C71" s="348"/>
      <c r="D71" s="349"/>
      <c r="E71" s="348"/>
      <c r="F71" s="345"/>
      <c r="G71" s="346"/>
      <c r="H71" s="348">
        <v>241</v>
      </c>
      <c r="I71" s="345"/>
      <c r="J71" s="349"/>
      <c r="K71" s="325"/>
      <c r="L71" s="325">
        <f t="shared" si="0"/>
        <v>241</v>
      </c>
      <c r="M71" s="325"/>
      <c r="N71" s="363"/>
      <c r="O71" s="363"/>
      <c r="P71" s="364"/>
    </row>
    <row r="72" s="326" customFormat="1" ht="16.5" customHeight="1" spans="1:16">
      <c r="A72" s="347" t="s">
        <v>198</v>
      </c>
      <c r="B72" s="348">
        <v>5878</v>
      </c>
      <c r="C72" s="348">
        <v>10791</v>
      </c>
      <c r="D72" s="349">
        <f>C72/B72*100</f>
        <v>183.582851309969</v>
      </c>
      <c r="E72" s="348">
        <v>9183</v>
      </c>
      <c r="F72" s="345">
        <f>C72-E72</f>
        <v>1608</v>
      </c>
      <c r="G72" s="346">
        <f>F72/E72*100</f>
        <v>17.5106174452793</v>
      </c>
      <c r="H72" s="348">
        <f>SUM(H73:H79)</f>
        <v>6000</v>
      </c>
      <c r="I72" s="345">
        <f>H72-B72</f>
        <v>122</v>
      </c>
      <c r="J72" s="349">
        <f>I72/B72*100</f>
        <v>2.07553589656346</v>
      </c>
      <c r="K72" s="325"/>
      <c r="L72" s="325">
        <f t="shared" ref="L72:L135" si="1">B72+C72+D72+F72+G72+H72+I72+J72</f>
        <v>24602.1690046518</v>
      </c>
      <c r="M72" s="325"/>
      <c r="N72" s="363"/>
      <c r="O72" s="363"/>
      <c r="P72" s="364"/>
    </row>
    <row r="73" ht="16.5" customHeight="1" spans="1:16">
      <c r="A73" s="347" t="s">
        <v>155</v>
      </c>
      <c r="B73" s="348"/>
      <c r="C73" s="348"/>
      <c r="D73" s="349"/>
      <c r="E73" s="348"/>
      <c r="F73" s="345"/>
      <c r="G73" s="346"/>
      <c r="H73" s="348">
        <v>2000</v>
      </c>
      <c r="I73" s="345"/>
      <c r="J73" s="349"/>
      <c r="K73" s="325"/>
      <c r="L73" s="325">
        <f t="shared" si="1"/>
        <v>2000</v>
      </c>
      <c r="M73" s="325"/>
      <c r="N73" s="363"/>
      <c r="O73" s="363"/>
      <c r="P73" s="364"/>
    </row>
    <row r="74" ht="16.5" customHeight="1" spans="1:16">
      <c r="A74" s="347" t="s">
        <v>156</v>
      </c>
      <c r="B74" s="348"/>
      <c r="C74" s="348"/>
      <c r="D74" s="349"/>
      <c r="E74" s="348"/>
      <c r="F74" s="345"/>
      <c r="G74" s="346"/>
      <c r="H74" s="348">
        <v>300</v>
      </c>
      <c r="I74" s="345"/>
      <c r="J74" s="349"/>
      <c r="K74" s="325"/>
      <c r="L74" s="325">
        <f t="shared" si="1"/>
        <v>300</v>
      </c>
      <c r="M74" s="325"/>
      <c r="N74" s="363"/>
      <c r="O74" s="363"/>
      <c r="P74" s="364"/>
    </row>
    <row r="75" ht="16.5" hidden="1" customHeight="1" spans="1:16">
      <c r="A75" s="347" t="s">
        <v>157</v>
      </c>
      <c r="B75" s="348"/>
      <c r="C75" s="348"/>
      <c r="D75" s="349"/>
      <c r="E75" s="348"/>
      <c r="F75" s="345"/>
      <c r="G75" s="346"/>
      <c r="H75" s="348">
        <v>0</v>
      </c>
      <c r="I75" s="345"/>
      <c r="J75" s="349"/>
      <c r="K75" s="325"/>
      <c r="L75" s="325">
        <f t="shared" si="1"/>
        <v>0</v>
      </c>
      <c r="M75" s="325"/>
      <c r="N75" s="363"/>
      <c r="O75" s="363"/>
      <c r="P75" s="364"/>
    </row>
    <row r="76" ht="16.5" hidden="1" customHeight="1" spans="1:16">
      <c r="A76" s="347" t="s">
        <v>195</v>
      </c>
      <c r="B76" s="348"/>
      <c r="C76" s="348"/>
      <c r="D76" s="349"/>
      <c r="E76" s="348"/>
      <c r="F76" s="345"/>
      <c r="G76" s="346"/>
      <c r="H76" s="348">
        <v>0</v>
      </c>
      <c r="I76" s="345"/>
      <c r="J76" s="349"/>
      <c r="K76" s="325"/>
      <c r="L76" s="325">
        <f t="shared" si="1"/>
        <v>0</v>
      </c>
      <c r="M76" s="325"/>
      <c r="N76" s="363"/>
      <c r="O76" s="363"/>
      <c r="P76" s="364"/>
    </row>
    <row r="77" ht="16.5" hidden="1" customHeight="1" spans="1:16">
      <c r="A77" s="347" t="s">
        <v>199</v>
      </c>
      <c r="B77" s="348"/>
      <c r="C77" s="348"/>
      <c r="D77" s="349"/>
      <c r="E77" s="348"/>
      <c r="F77" s="345"/>
      <c r="G77" s="346"/>
      <c r="H77" s="348">
        <v>0</v>
      </c>
      <c r="I77" s="345"/>
      <c r="J77" s="349"/>
      <c r="K77" s="325"/>
      <c r="L77" s="325">
        <f t="shared" si="1"/>
        <v>0</v>
      </c>
      <c r="M77" s="325"/>
      <c r="N77" s="363"/>
      <c r="O77" s="363"/>
      <c r="P77" s="364"/>
    </row>
    <row r="78" ht="16.5" hidden="1" customHeight="1" spans="1:16">
      <c r="A78" s="347" t="s">
        <v>164</v>
      </c>
      <c r="B78" s="348"/>
      <c r="C78" s="348"/>
      <c r="D78" s="349"/>
      <c r="E78" s="348"/>
      <c r="F78" s="345"/>
      <c r="G78" s="346"/>
      <c r="H78" s="348">
        <v>0</v>
      </c>
      <c r="I78" s="345"/>
      <c r="J78" s="349"/>
      <c r="K78" s="325"/>
      <c r="L78" s="325">
        <f t="shared" si="1"/>
        <v>0</v>
      </c>
      <c r="M78" s="325"/>
      <c r="N78" s="363"/>
      <c r="O78" s="363"/>
      <c r="P78" s="364"/>
    </row>
    <row r="79" ht="16.5" customHeight="1" spans="1:16">
      <c r="A79" s="347" t="s">
        <v>200</v>
      </c>
      <c r="B79" s="348"/>
      <c r="C79" s="348"/>
      <c r="D79" s="349"/>
      <c r="E79" s="348"/>
      <c r="F79" s="345"/>
      <c r="G79" s="346"/>
      <c r="H79" s="348">
        <f>2900+800</f>
        <v>3700</v>
      </c>
      <c r="I79" s="345"/>
      <c r="J79" s="349"/>
      <c r="K79" s="325"/>
      <c r="L79" s="325">
        <f t="shared" si="1"/>
        <v>3700</v>
      </c>
      <c r="M79" s="325"/>
      <c r="N79" s="363"/>
      <c r="O79" s="363"/>
      <c r="P79" s="364"/>
    </row>
    <row r="80" s="326" customFormat="1" ht="16.5" customHeight="1" spans="1:16">
      <c r="A80" s="347" t="s">
        <v>201</v>
      </c>
      <c r="B80" s="348">
        <v>2459</v>
      </c>
      <c r="C80" s="348">
        <v>3189</v>
      </c>
      <c r="D80" s="349">
        <f>C80/B80*100</f>
        <v>129.686864579097</v>
      </c>
      <c r="E80" s="348">
        <v>2892</v>
      </c>
      <c r="F80" s="345">
        <f>C80-E80</f>
        <v>297</v>
      </c>
      <c r="G80" s="346">
        <f>F80/E80*100</f>
        <v>10.2697095435685</v>
      </c>
      <c r="H80" s="348">
        <f>SUM(H81:H88)</f>
        <v>2718.565772</v>
      </c>
      <c r="I80" s="345">
        <f>H80-B80</f>
        <v>259.565772</v>
      </c>
      <c r="J80" s="349">
        <f>I80/B80*100</f>
        <v>10.555745099634</v>
      </c>
      <c r="K80" s="325"/>
      <c r="L80" s="325">
        <f t="shared" si="1"/>
        <v>9073.6438632223</v>
      </c>
      <c r="M80" s="325"/>
      <c r="N80" s="363"/>
      <c r="O80" s="363"/>
      <c r="P80" s="364"/>
    </row>
    <row r="81" ht="16.5" customHeight="1" spans="1:16">
      <c r="A81" s="347" t="s">
        <v>155</v>
      </c>
      <c r="B81" s="348"/>
      <c r="C81" s="348"/>
      <c r="D81" s="349"/>
      <c r="E81" s="348"/>
      <c r="F81" s="345"/>
      <c r="G81" s="346"/>
      <c r="H81" s="348">
        <v>2013.87067</v>
      </c>
      <c r="I81" s="345"/>
      <c r="J81" s="349"/>
      <c r="K81" s="325"/>
      <c r="L81" s="325">
        <f t="shared" si="1"/>
        <v>2013.87067</v>
      </c>
      <c r="M81" s="325"/>
      <c r="N81" s="363"/>
      <c r="O81" s="363"/>
      <c r="P81" s="364"/>
    </row>
    <row r="82" ht="16.5" customHeight="1" spans="1:16">
      <c r="A82" s="347" t="s">
        <v>156</v>
      </c>
      <c r="B82" s="348"/>
      <c r="C82" s="348"/>
      <c r="D82" s="349"/>
      <c r="E82" s="348"/>
      <c r="F82" s="345"/>
      <c r="G82" s="346"/>
      <c r="H82" s="348">
        <v>188</v>
      </c>
      <c r="I82" s="345"/>
      <c r="J82" s="349"/>
      <c r="K82" s="325"/>
      <c r="L82" s="325">
        <f t="shared" si="1"/>
        <v>188</v>
      </c>
      <c r="M82" s="325"/>
      <c r="N82" s="363"/>
      <c r="O82" s="363"/>
      <c r="P82" s="364"/>
    </row>
    <row r="83" hidden="1" spans="1:16">
      <c r="A83" s="347" t="s">
        <v>157</v>
      </c>
      <c r="B83" s="348"/>
      <c r="C83" s="348"/>
      <c r="D83" s="349"/>
      <c r="E83" s="348"/>
      <c r="F83" s="345"/>
      <c r="G83" s="346"/>
      <c r="H83" s="348">
        <v>0</v>
      </c>
      <c r="I83" s="345"/>
      <c r="J83" s="349"/>
      <c r="K83" s="325"/>
      <c r="L83" s="325">
        <f t="shared" si="1"/>
        <v>0</v>
      </c>
      <c r="M83" s="325"/>
      <c r="N83" s="363"/>
      <c r="O83" s="363"/>
      <c r="P83" s="364"/>
    </row>
    <row r="84" ht="16.5" customHeight="1" spans="1:16">
      <c r="A84" s="347" t="s">
        <v>202</v>
      </c>
      <c r="B84" s="348"/>
      <c r="C84" s="348"/>
      <c r="D84" s="349"/>
      <c r="E84" s="348"/>
      <c r="F84" s="345"/>
      <c r="G84" s="346"/>
      <c r="H84" s="348">
        <v>165.7</v>
      </c>
      <c r="I84" s="345"/>
      <c r="J84" s="349"/>
      <c r="K84" s="325"/>
      <c r="L84" s="325">
        <f t="shared" si="1"/>
        <v>165.7</v>
      </c>
      <c r="M84" s="325"/>
      <c r="N84" s="363"/>
      <c r="O84" s="363"/>
      <c r="P84" s="364"/>
    </row>
    <row r="85" ht="16.5" hidden="1" customHeight="1" spans="1:16">
      <c r="A85" s="347" t="s">
        <v>203</v>
      </c>
      <c r="B85" s="348"/>
      <c r="C85" s="348"/>
      <c r="D85" s="349"/>
      <c r="E85" s="348"/>
      <c r="F85" s="345"/>
      <c r="G85" s="346"/>
      <c r="H85" s="348">
        <v>0</v>
      </c>
      <c r="I85" s="345"/>
      <c r="J85" s="349"/>
      <c r="K85" s="325"/>
      <c r="L85" s="325">
        <f t="shared" si="1"/>
        <v>0</v>
      </c>
      <c r="M85" s="325"/>
      <c r="N85" s="363"/>
      <c r="O85" s="363"/>
      <c r="P85" s="364"/>
    </row>
    <row r="86" ht="16.5" hidden="1" customHeight="1" spans="1:16">
      <c r="A86" s="347" t="s">
        <v>195</v>
      </c>
      <c r="B86" s="348"/>
      <c r="C86" s="348"/>
      <c r="D86" s="349"/>
      <c r="E86" s="348"/>
      <c r="F86" s="345"/>
      <c r="G86" s="346"/>
      <c r="H86" s="348">
        <v>0</v>
      </c>
      <c r="I86" s="345"/>
      <c r="J86" s="349"/>
      <c r="K86" s="325"/>
      <c r="L86" s="325">
        <f t="shared" si="1"/>
        <v>0</v>
      </c>
      <c r="M86" s="325"/>
      <c r="N86" s="363"/>
      <c r="O86" s="363"/>
      <c r="P86" s="364"/>
    </row>
    <row r="87" ht="16.5" customHeight="1" spans="1:16">
      <c r="A87" s="347" t="s">
        <v>164</v>
      </c>
      <c r="B87" s="348"/>
      <c r="C87" s="348"/>
      <c r="D87" s="349"/>
      <c r="E87" s="348"/>
      <c r="F87" s="345"/>
      <c r="G87" s="346"/>
      <c r="H87" s="348">
        <v>100.495102</v>
      </c>
      <c r="I87" s="345"/>
      <c r="J87" s="349"/>
      <c r="K87" s="325"/>
      <c r="L87" s="325">
        <f t="shared" si="1"/>
        <v>100.495102</v>
      </c>
      <c r="M87" s="325"/>
      <c r="N87" s="363"/>
      <c r="O87" s="363"/>
      <c r="P87" s="364"/>
    </row>
    <row r="88" ht="16.5" customHeight="1" spans="1:16">
      <c r="A88" s="347" t="s">
        <v>204</v>
      </c>
      <c r="B88" s="348"/>
      <c r="C88" s="348"/>
      <c r="D88" s="349"/>
      <c r="E88" s="348"/>
      <c r="F88" s="345"/>
      <c r="G88" s="346"/>
      <c r="H88" s="348">
        <v>250.5</v>
      </c>
      <c r="I88" s="345"/>
      <c r="J88" s="349"/>
      <c r="K88" s="325"/>
      <c r="L88" s="325">
        <f t="shared" si="1"/>
        <v>250.5</v>
      </c>
      <c r="M88" s="325"/>
      <c r="N88" s="363"/>
      <c r="O88" s="363"/>
      <c r="P88" s="364"/>
    </row>
    <row r="89" s="326" customFormat="1" ht="18" customHeight="1" spans="1:16">
      <c r="A89" s="347" t="s">
        <v>205</v>
      </c>
      <c r="B89" s="348"/>
      <c r="C89" s="348">
        <v>405</v>
      </c>
      <c r="D89" s="349"/>
      <c r="E89" s="348">
        <v>124</v>
      </c>
      <c r="F89" s="345">
        <f>C89-E89</f>
        <v>281</v>
      </c>
      <c r="G89" s="346">
        <f>F89/E89*100</f>
        <v>226.612903225806</v>
      </c>
      <c r="H89" s="348">
        <v>0</v>
      </c>
      <c r="I89" s="345">
        <v>-930.88</v>
      </c>
      <c r="J89" s="349">
        <v>-23.9308153464888</v>
      </c>
      <c r="K89" s="325"/>
      <c r="L89" s="325">
        <f t="shared" si="1"/>
        <v>-42.1979121206828</v>
      </c>
      <c r="M89" s="325"/>
      <c r="N89" s="363"/>
      <c r="O89" s="363"/>
      <c r="P89" s="364"/>
    </row>
    <row r="90" s="326" customFormat="1" ht="16.5" customHeight="1" spans="1:16">
      <c r="A90" s="347" t="s">
        <v>206</v>
      </c>
      <c r="B90" s="348">
        <v>12971</v>
      </c>
      <c r="C90" s="348">
        <v>21653</v>
      </c>
      <c r="D90" s="349">
        <f>C90/B90*100</f>
        <v>166.933929535117</v>
      </c>
      <c r="E90" s="348">
        <v>15256</v>
      </c>
      <c r="F90" s="345">
        <f>C90-E90</f>
        <v>6397</v>
      </c>
      <c r="G90" s="346">
        <f>F90/E90*100</f>
        <v>41.9310435238595</v>
      </c>
      <c r="H90" s="348">
        <f>SUM(H91:H98)</f>
        <v>13075.213478</v>
      </c>
      <c r="I90" s="345">
        <f>H90-B90</f>
        <v>104.213478000001</v>
      </c>
      <c r="J90" s="349">
        <f>I90/B90*100</f>
        <v>0.803434415233995</v>
      </c>
      <c r="K90" s="325"/>
      <c r="L90" s="325">
        <f t="shared" si="1"/>
        <v>54410.0953634742</v>
      </c>
      <c r="M90" s="325"/>
      <c r="N90" s="363"/>
      <c r="O90" s="363"/>
      <c r="P90" s="364"/>
    </row>
    <row r="91" ht="16.5" customHeight="1" spans="1:16">
      <c r="A91" s="365" t="s">
        <v>155</v>
      </c>
      <c r="B91" s="348"/>
      <c r="C91" s="348"/>
      <c r="D91" s="349"/>
      <c r="E91" s="348"/>
      <c r="F91" s="345"/>
      <c r="G91" s="346"/>
      <c r="H91" s="348">
        <v>11870.185738</v>
      </c>
      <c r="I91" s="345"/>
      <c r="J91" s="349"/>
      <c r="K91" s="325"/>
      <c r="L91" s="325">
        <f t="shared" si="1"/>
        <v>11870.185738</v>
      </c>
      <c r="M91" s="325"/>
      <c r="N91" s="363"/>
      <c r="O91" s="363"/>
      <c r="P91" s="364"/>
    </row>
    <row r="92" ht="16.5" customHeight="1" spans="1:16">
      <c r="A92" s="365" t="s">
        <v>156</v>
      </c>
      <c r="B92" s="348"/>
      <c r="C92" s="348"/>
      <c r="D92" s="349"/>
      <c r="E92" s="348"/>
      <c r="F92" s="345"/>
      <c r="G92" s="346"/>
      <c r="H92" s="348">
        <v>551.485592</v>
      </c>
      <c r="I92" s="345"/>
      <c r="J92" s="349"/>
      <c r="K92" s="325"/>
      <c r="L92" s="325">
        <f t="shared" si="1"/>
        <v>551.485592</v>
      </c>
      <c r="M92" s="325"/>
      <c r="N92" s="363"/>
      <c r="O92" s="363"/>
      <c r="P92" s="364"/>
    </row>
    <row r="93" ht="16.5" customHeight="1" spans="1:16">
      <c r="A93" s="347" t="s">
        <v>157</v>
      </c>
      <c r="B93" s="348"/>
      <c r="C93" s="348"/>
      <c r="D93" s="349"/>
      <c r="E93" s="348"/>
      <c r="F93" s="345"/>
      <c r="G93" s="346"/>
      <c r="H93" s="348">
        <v>30</v>
      </c>
      <c r="I93" s="345"/>
      <c r="J93" s="349"/>
      <c r="K93" s="325"/>
      <c r="L93" s="325">
        <f t="shared" si="1"/>
        <v>30</v>
      </c>
      <c r="M93" s="325"/>
      <c r="N93" s="363"/>
      <c r="O93" s="363"/>
      <c r="P93" s="364"/>
    </row>
    <row r="94" ht="16.5" hidden="1" customHeight="1" spans="1:16">
      <c r="A94" s="365" t="s">
        <v>207</v>
      </c>
      <c r="B94" s="348"/>
      <c r="C94" s="348"/>
      <c r="D94" s="349"/>
      <c r="E94" s="348"/>
      <c r="F94" s="345"/>
      <c r="G94" s="346"/>
      <c r="H94" s="348">
        <v>0</v>
      </c>
      <c r="I94" s="345"/>
      <c r="J94" s="349"/>
      <c r="K94" s="325"/>
      <c r="L94" s="325">
        <f t="shared" si="1"/>
        <v>0</v>
      </c>
      <c r="M94" s="325"/>
      <c r="N94" s="363"/>
      <c r="O94" s="363"/>
      <c r="P94" s="364"/>
    </row>
    <row r="95" ht="16.5" hidden="1" customHeight="1" spans="1:16">
      <c r="A95" s="365" t="s">
        <v>208</v>
      </c>
      <c r="B95" s="348"/>
      <c r="C95" s="348"/>
      <c r="D95" s="349"/>
      <c r="E95" s="348"/>
      <c r="F95" s="345"/>
      <c r="G95" s="346"/>
      <c r="H95" s="348">
        <v>0</v>
      </c>
      <c r="I95" s="345"/>
      <c r="J95" s="349"/>
      <c r="K95" s="325"/>
      <c r="L95" s="325">
        <f t="shared" si="1"/>
        <v>0</v>
      </c>
      <c r="M95" s="325"/>
      <c r="N95" s="363"/>
      <c r="O95" s="363"/>
      <c r="P95" s="364"/>
    </row>
    <row r="96" ht="16.5" customHeight="1" spans="1:16">
      <c r="A96" s="365" t="s">
        <v>209</v>
      </c>
      <c r="B96" s="348"/>
      <c r="C96" s="348"/>
      <c r="D96" s="349"/>
      <c r="E96" s="348"/>
      <c r="F96" s="345"/>
      <c r="G96" s="346"/>
      <c r="H96" s="348">
        <v>10</v>
      </c>
      <c r="I96" s="345"/>
      <c r="J96" s="349"/>
      <c r="K96" s="325"/>
      <c r="L96" s="325">
        <f t="shared" si="1"/>
        <v>10</v>
      </c>
      <c r="M96" s="325"/>
      <c r="N96" s="363"/>
      <c r="O96" s="363"/>
      <c r="P96" s="364"/>
    </row>
    <row r="97" ht="16.5" customHeight="1" spans="1:16">
      <c r="A97" s="365" t="s">
        <v>164</v>
      </c>
      <c r="B97" s="348"/>
      <c r="C97" s="348"/>
      <c r="D97" s="349"/>
      <c r="E97" s="348"/>
      <c r="F97" s="345"/>
      <c r="G97" s="346"/>
      <c r="H97" s="348">
        <v>409.542148</v>
      </c>
      <c r="I97" s="345"/>
      <c r="J97" s="349"/>
      <c r="K97" s="325"/>
      <c r="L97" s="325">
        <f t="shared" si="1"/>
        <v>409.542148</v>
      </c>
      <c r="M97" s="325"/>
      <c r="N97" s="363"/>
      <c r="O97" s="363"/>
      <c r="P97" s="364"/>
    </row>
    <row r="98" ht="16.5" customHeight="1" spans="1:16">
      <c r="A98" s="365" t="s">
        <v>210</v>
      </c>
      <c r="B98" s="348"/>
      <c r="C98" s="348"/>
      <c r="D98" s="349"/>
      <c r="E98" s="348"/>
      <c r="F98" s="345"/>
      <c r="G98" s="346"/>
      <c r="H98" s="348">
        <v>204</v>
      </c>
      <c r="I98" s="345"/>
      <c r="J98" s="349"/>
      <c r="K98" s="325"/>
      <c r="L98" s="325">
        <f t="shared" si="1"/>
        <v>204</v>
      </c>
      <c r="M98" s="325"/>
      <c r="N98" s="363"/>
      <c r="O98" s="363"/>
      <c r="P98" s="364"/>
    </row>
    <row r="99" s="326" customFormat="1" ht="16.5" customHeight="1" spans="1:16">
      <c r="A99" s="347" t="s">
        <v>211</v>
      </c>
      <c r="B99" s="348">
        <v>4849</v>
      </c>
      <c r="C99" s="348">
        <v>8262</v>
      </c>
      <c r="D99" s="349">
        <f>C99/B99*100</f>
        <v>170.385646525057</v>
      </c>
      <c r="E99" s="348">
        <v>6150</v>
      </c>
      <c r="F99" s="345">
        <f>C99-E99</f>
        <v>2112</v>
      </c>
      <c r="G99" s="346">
        <f>F99/E99*100</f>
        <v>34.3414634146341</v>
      </c>
      <c r="H99" s="348">
        <f>SUM(H100:H109)</f>
        <v>4864.369996</v>
      </c>
      <c r="I99" s="345">
        <f>H99-B99</f>
        <v>15.3699960000004</v>
      </c>
      <c r="J99" s="349">
        <f>I99/B99*100</f>
        <v>0.316972489173033</v>
      </c>
      <c r="K99" s="325"/>
      <c r="L99" s="325">
        <f t="shared" si="1"/>
        <v>20307.7840744289</v>
      </c>
      <c r="M99" s="325"/>
      <c r="N99" s="363"/>
      <c r="O99" s="363"/>
      <c r="P99" s="364"/>
    </row>
    <row r="100" ht="16.5" customHeight="1" spans="1:16">
      <c r="A100" s="347" t="s">
        <v>155</v>
      </c>
      <c r="B100" s="348"/>
      <c r="C100" s="348"/>
      <c r="D100" s="349"/>
      <c r="E100" s="348"/>
      <c r="F100" s="345"/>
      <c r="G100" s="346"/>
      <c r="H100" s="348">
        <v>3339.149996</v>
      </c>
      <c r="I100" s="345"/>
      <c r="J100" s="349"/>
      <c r="K100" s="325"/>
      <c r="L100" s="325">
        <f t="shared" si="1"/>
        <v>3339.149996</v>
      </c>
      <c r="M100" s="325"/>
      <c r="N100" s="363"/>
      <c r="O100" s="363"/>
      <c r="P100" s="364"/>
    </row>
    <row r="101" ht="16.5" customHeight="1" spans="1:16">
      <c r="A101" s="347" t="s">
        <v>156</v>
      </c>
      <c r="B101" s="348"/>
      <c r="C101" s="348"/>
      <c r="D101" s="349"/>
      <c r="E101" s="348"/>
      <c r="F101" s="345"/>
      <c r="G101" s="346"/>
      <c r="H101" s="348">
        <v>268.5</v>
      </c>
      <c r="I101" s="345"/>
      <c r="J101" s="349"/>
      <c r="K101" s="325"/>
      <c r="L101" s="325">
        <f t="shared" si="1"/>
        <v>268.5</v>
      </c>
      <c r="M101" s="325"/>
      <c r="N101" s="363"/>
      <c r="O101" s="363"/>
      <c r="P101" s="364"/>
    </row>
    <row r="102" ht="16.5" hidden="1" customHeight="1" spans="1:16">
      <c r="A102" s="347" t="s">
        <v>157</v>
      </c>
      <c r="B102" s="348"/>
      <c r="C102" s="348"/>
      <c r="D102" s="349"/>
      <c r="E102" s="348"/>
      <c r="F102" s="345"/>
      <c r="G102" s="346"/>
      <c r="H102" s="348">
        <v>0</v>
      </c>
      <c r="I102" s="345"/>
      <c r="J102" s="349"/>
      <c r="K102" s="325"/>
      <c r="L102" s="325">
        <f t="shared" si="1"/>
        <v>0</v>
      </c>
      <c r="M102" s="325"/>
      <c r="N102" s="363"/>
      <c r="O102" s="363"/>
      <c r="P102" s="364"/>
    </row>
    <row r="103" ht="16.5" hidden="1" customHeight="1" spans="1:16">
      <c r="A103" s="347" t="s">
        <v>212</v>
      </c>
      <c r="B103" s="348"/>
      <c r="C103" s="348"/>
      <c r="D103" s="349"/>
      <c r="E103" s="348"/>
      <c r="F103" s="345"/>
      <c r="G103" s="346"/>
      <c r="H103" s="348">
        <v>0</v>
      </c>
      <c r="I103" s="345"/>
      <c r="J103" s="349"/>
      <c r="K103" s="325"/>
      <c r="L103" s="325">
        <f t="shared" si="1"/>
        <v>0</v>
      </c>
      <c r="M103" s="325"/>
      <c r="N103" s="363"/>
      <c r="O103" s="363"/>
      <c r="P103" s="364"/>
    </row>
    <row r="104" ht="16.5" hidden="1" customHeight="1" spans="1:16">
      <c r="A104" s="347" t="s">
        <v>213</v>
      </c>
      <c r="B104" s="348"/>
      <c r="C104" s="348"/>
      <c r="D104" s="349"/>
      <c r="E104" s="348"/>
      <c r="F104" s="345"/>
      <c r="G104" s="346"/>
      <c r="H104" s="348">
        <v>0</v>
      </c>
      <c r="I104" s="345"/>
      <c r="J104" s="349"/>
      <c r="K104" s="325"/>
      <c r="L104" s="325">
        <f t="shared" si="1"/>
        <v>0</v>
      </c>
      <c r="M104" s="325"/>
      <c r="N104" s="363"/>
      <c r="O104" s="363"/>
      <c r="P104" s="364"/>
    </row>
    <row r="105" ht="16.5" hidden="1" customHeight="1" spans="1:16">
      <c r="A105" s="347" t="s">
        <v>214</v>
      </c>
      <c r="B105" s="348"/>
      <c r="C105" s="348"/>
      <c r="D105" s="349"/>
      <c r="E105" s="348"/>
      <c r="F105" s="345"/>
      <c r="G105" s="346"/>
      <c r="H105" s="348">
        <v>0</v>
      </c>
      <c r="I105" s="345"/>
      <c r="J105" s="349"/>
      <c r="K105" s="325"/>
      <c r="L105" s="325">
        <f t="shared" si="1"/>
        <v>0</v>
      </c>
      <c r="M105" s="325"/>
      <c r="N105" s="363"/>
      <c r="O105" s="363"/>
      <c r="P105" s="364"/>
    </row>
    <row r="106" ht="16.5" hidden="1" customHeight="1" spans="1:16">
      <c r="A106" s="347" t="s">
        <v>215</v>
      </c>
      <c r="B106" s="348"/>
      <c r="C106" s="348"/>
      <c r="D106" s="349"/>
      <c r="E106" s="348"/>
      <c r="F106" s="345"/>
      <c r="G106" s="346"/>
      <c r="H106" s="348">
        <v>0</v>
      </c>
      <c r="I106" s="345"/>
      <c r="J106" s="349"/>
      <c r="K106" s="325"/>
      <c r="L106" s="325">
        <f t="shared" si="1"/>
        <v>0</v>
      </c>
      <c r="M106" s="325"/>
      <c r="N106" s="363"/>
      <c r="O106" s="363"/>
      <c r="P106" s="364"/>
    </row>
    <row r="107" ht="16.5" customHeight="1" spans="1:16">
      <c r="A107" s="347" t="s">
        <v>216</v>
      </c>
      <c r="B107" s="348"/>
      <c r="C107" s="348"/>
      <c r="D107" s="349"/>
      <c r="E107" s="348"/>
      <c r="F107" s="345"/>
      <c r="G107" s="346"/>
      <c r="H107" s="348">
        <v>529.46</v>
      </c>
      <c r="I107" s="345"/>
      <c r="J107" s="349"/>
      <c r="K107" s="325"/>
      <c r="L107" s="325">
        <f t="shared" si="1"/>
        <v>529.46</v>
      </c>
      <c r="M107" s="325"/>
      <c r="N107" s="363"/>
      <c r="O107" s="363"/>
      <c r="P107" s="364"/>
    </row>
    <row r="108" ht="16.5" customHeight="1" spans="1:16">
      <c r="A108" s="347" t="s">
        <v>164</v>
      </c>
      <c r="B108" s="348"/>
      <c r="C108" s="348"/>
      <c r="D108" s="349"/>
      <c r="E108" s="348"/>
      <c r="F108" s="345"/>
      <c r="G108" s="346"/>
      <c r="H108" s="348">
        <v>280</v>
      </c>
      <c r="I108" s="345"/>
      <c r="J108" s="349"/>
      <c r="K108" s="325"/>
      <c r="L108" s="325">
        <f t="shared" si="1"/>
        <v>280</v>
      </c>
      <c r="M108" s="325"/>
      <c r="N108" s="363"/>
      <c r="O108" s="363"/>
      <c r="P108" s="364"/>
    </row>
    <row r="109" ht="16.5" customHeight="1" spans="1:16">
      <c r="A109" s="347" t="s">
        <v>217</v>
      </c>
      <c r="B109" s="348"/>
      <c r="C109" s="348"/>
      <c r="D109" s="349"/>
      <c r="E109" s="348"/>
      <c r="F109" s="345"/>
      <c r="G109" s="346"/>
      <c r="H109" s="348">
        <f>147.26+300</f>
        <v>447.26</v>
      </c>
      <c r="I109" s="345"/>
      <c r="J109" s="349"/>
      <c r="K109" s="325"/>
      <c r="L109" s="325">
        <f t="shared" si="1"/>
        <v>447.26</v>
      </c>
      <c r="M109" s="325"/>
      <c r="N109" s="363"/>
      <c r="O109" s="363"/>
      <c r="P109" s="364"/>
    </row>
    <row r="110" s="326" customFormat="1" ht="16.5" customHeight="1" spans="1:16">
      <c r="A110" s="347" t="s">
        <v>218</v>
      </c>
      <c r="B110" s="348"/>
      <c r="C110" s="348">
        <v>54</v>
      </c>
      <c r="D110" s="349"/>
      <c r="E110" s="348"/>
      <c r="F110" s="345">
        <f>C110-E110</f>
        <v>54</v>
      </c>
      <c r="G110" s="346"/>
      <c r="H110" s="348">
        <v>0</v>
      </c>
      <c r="I110" s="345">
        <f>H110-B110</f>
        <v>0</v>
      </c>
      <c r="J110" s="349"/>
      <c r="K110" s="325"/>
      <c r="L110" s="325">
        <f t="shared" si="1"/>
        <v>108</v>
      </c>
      <c r="M110" s="325"/>
      <c r="N110" s="363"/>
      <c r="O110" s="363"/>
      <c r="P110" s="364"/>
    </row>
    <row r="111" s="326" customFormat="1" ht="16.5" customHeight="1" spans="1:16">
      <c r="A111" s="347" t="s">
        <v>219</v>
      </c>
      <c r="B111" s="348">
        <v>114</v>
      </c>
      <c r="C111" s="348">
        <v>98</v>
      </c>
      <c r="D111" s="349">
        <f>C111/B111*100</f>
        <v>85.9649122807018</v>
      </c>
      <c r="E111" s="348">
        <v>67</v>
      </c>
      <c r="F111" s="345">
        <f>C111-E111</f>
        <v>31</v>
      </c>
      <c r="G111" s="346">
        <f>F111/E111*100</f>
        <v>46.2686567164179</v>
      </c>
      <c r="H111" s="348">
        <f>SUM(H112:H117)</f>
        <v>120.8484</v>
      </c>
      <c r="I111" s="345">
        <f>H111-B111</f>
        <v>6.8484</v>
      </c>
      <c r="J111" s="349">
        <f>I111/B111*100</f>
        <v>6.00736842105263</v>
      </c>
      <c r="K111" s="325"/>
      <c r="L111" s="325">
        <f t="shared" si="1"/>
        <v>508.937737418172</v>
      </c>
      <c r="M111" s="325"/>
      <c r="N111" s="363"/>
      <c r="O111" s="363"/>
      <c r="P111" s="364"/>
    </row>
    <row r="112" ht="16.5" customHeight="1" spans="1:16">
      <c r="A112" s="347" t="s">
        <v>155</v>
      </c>
      <c r="B112" s="348"/>
      <c r="C112" s="348">
        <v>0</v>
      </c>
      <c r="D112" s="349"/>
      <c r="E112" s="348"/>
      <c r="F112" s="345"/>
      <c r="G112" s="346"/>
      <c r="H112" s="348">
        <v>31.8484</v>
      </c>
      <c r="I112" s="345"/>
      <c r="J112" s="349"/>
      <c r="K112" s="325"/>
      <c r="L112" s="325">
        <f t="shared" si="1"/>
        <v>31.8484</v>
      </c>
      <c r="M112" s="325"/>
      <c r="N112" s="363"/>
      <c r="O112" s="363"/>
      <c r="P112" s="364"/>
    </row>
    <row r="113" ht="16.5" customHeight="1" spans="1:16">
      <c r="A113" s="347" t="s">
        <v>156</v>
      </c>
      <c r="B113" s="348"/>
      <c r="C113" s="348"/>
      <c r="D113" s="349"/>
      <c r="E113" s="348"/>
      <c r="F113" s="345"/>
      <c r="G113" s="346"/>
      <c r="H113" s="348">
        <v>5</v>
      </c>
      <c r="I113" s="345"/>
      <c r="J113" s="349"/>
      <c r="K113" s="325"/>
      <c r="L113" s="325">
        <f t="shared" si="1"/>
        <v>5</v>
      </c>
      <c r="M113" s="325"/>
      <c r="N113" s="363"/>
      <c r="O113" s="363"/>
      <c r="P113" s="364"/>
    </row>
    <row r="114" ht="16.5" hidden="1" customHeight="1" spans="1:16">
      <c r="A114" s="347" t="s">
        <v>157</v>
      </c>
      <c r="B114" s="348"/>
      <c r="C114" s="348"/>
      <c r="D114" s="349"/>
      <c r="E114" s="348"/>
      <c r="F114" s="345"/>
      <c r="G114" s="346"/>
      <c r="H114" s="348">
        <v>0</v>
      </c>
      <c r="I114" s="345"/>
      <c r="J114" s="349"/>
      <c r="K114" s="325"/>
      <c r="L114" s="325">
        <f t="shared" si="1"/>
        <v>0</v>
      </c>
      <c r="M114" s="325"/>
      <c r="N114" s="363"/>
      <c r="O114" s="363"/>
      <c r="P114" s="364"/>
    </row>
    <row r="115" ht="16.5" customHeight="1" spans="1:16">
      <c r="A115" s="347" t="s">
        <v>220</v>
      </c>
      <c r="B115" s="348"/>
      <c r="C115" s="348"/>
      <c r="D115" s="349"/>
      <c r="E115" s="348"/>
      <c r="F115" s="345"/>
      <c r="G115" s="346"/>
      <c r="H115" s="348">
        <v>10</v>
      </c>
      <c r="I115" s="345"/>
      <c r="J115" s="349"/>
      <c r="K115" s="325"/>
      <c r="L115" s="325">
        <f t="shared" si="1"/>
        <v>10</v>
      </c>
      <c r="M115" s="325"/>
      <c r="N115" s="363"/>
      <c r="O115" s="363"/>
      <c r="P115" s="364"/>
    </row>
    <row r="116" ht="16.5" hidden="1" customHeight="1" spans="1:16">
      <c r="A116" s="347" t="s">
        <v>164</v>
      </c>
      <c r="B116" s="348"/>
      <c r="C116" s="348"/>
      <c r="D116" s="349"/>
      <c r="E116" s="348"/>
      <c r="F116" s="345"/>
      <c r="G116" s="346"/>
      <c r="H116" s="348">
        <v>0</v>
      </c>
      <c r="I116" s="345"/>
      <c r="J116" s="349"/>
      <c r="K116" s="325"/>
      <c r="L116" s="325">
        <f t="shared" si="1"/>
        <v>0</v>
      </c>
      <c r="M116" s="325"/>
      <c r="N116" s="363"/>
      <c r="O116" s="363"/>
      <c r="P116" s="364"/>
    </row>
    <row r="117" ht="16.5" customHeight="1" spans="1:16">
      <c r="A117" s="347" t="s">
        <v>221</v>
      </c>
      <c r="B117" s="348"/>
      <c r="C117" s="348"/>
      <c r="D117" s="349"/>
      <c r="E117" s="348"/>
      <c r="F117" s="345"/>
      <c r="G117" s="346"/>
      <c r="H117" s="348">
        <f>24+50</f>
        <v>74</v>
      </c>
      <c r="I117" s="345"/>
      <c r="J117" s="349"/>
      <c r="K117" s="325"/>
      <c r="L117" s="325">
        <f t="shared" si="1"/>
        <v>74</v>
      </c>
      <c r="M117" s="325"/>
      <c r="N117" s="363"/>
      <c r="O117" s="363"/>
      <c r="P117" s="364"/>
    </row>
    <row r="118" s="326" customFormat="1" ht="16.5" customHeight="1" spans="1:16">
      <c r="A118" s="347" t="s">
        <v>222</v>
      </c>
      <c r="B118" s="348">
        <v>119</v>
      </c>
      <c r="C118" s="348">
        <v>196</v>
      </c>
      <c r="D118" s="349">
        <f>C118/B118*100</f>
        <v>164.705882352941</v>
      </c>
      <c r="E118" s="348">
        <v>162</v>
      </c>
      <c r="F118" s="345">
        <f>C118-E118</f>
        <v>34</v>
      </c>
      <c r="G118" s="346">
        <f>F118/E118*100</f>
        <v>20.9876543209877</v>
      </c>
      <c r="H118" s="348">
        <v>124</v>
      </c>
      <c r="I118" s="345">
        <f>H118-B118</f>
        <v>5</v>
      </c>
      <c r="J118" s="349">
        <f>I118/B118*100</f>
        <v>4.20168067226891</v>
      </c>
      <c r="K118" s="325"/>
      <c r="L118" s="325">
        <f t="shared" si="1"/>
        <v>667.895217346198</v>
      </c>
      <c r="M118" s="325"/>
      <c r="N118" s="363"/>
      <c r="O118" s="363"/>
      <c r="P118" s="364"/>
    </row>
    <row r="119" s="326" customFormat="1" ht="16.5" customHeight="1" spans="1:16">
      <c r="A119" s="347" t="s">
        <v>223</v>
      </c>
      <c r="B119" s="348">
        <v>857</v>
      </c>
      <c r="C119" s="348">
        <v>1191</v>
      </c>
      <c r="D119" s="349">
        <f>C119/B119*100</f>
        <v>138.973162193699</v>
      </c>
      <c r="E119" s="348">
        <v>1040</v>
      </c>
      <c r="F119" s="345">
        <f>C119-E119</f>
        <v>151</v>
      </c>
      <c r="G119" s="346">
        <f>F119/E119*100</f>
        <v>14.5192307692308</v>
      </c>
      <c r="H119" s="348">
        <f>SUM(H120:H124)</f>
        <v>812.646142</v>
      </c>
      <c r="I119" s="345">
        <f>H119-B119</f>
        <v>-44.3538579999999</v>
      </c>
      <c r="J119" s="349">
        <f>I119/B119*100</f>
        <v>-5.17547934655775</v>
      </c>
      <c r="K119" s="325"/>
      <c r="L119" s="325">
        <f t="shared" si="1"/>
        <v>3115.60919761637</v>
      </c>
      <c r="M119" s="325"/>
      <c r="N119" s="363"/>
      <c r="O119" s="363"/>
      <c r="P119" s="364"/>
    </row>
    <row r="120" ht="16.5" customHeight="1" spans="1:16">
      <c r="A120" s="365" t="s">
        <v>155</v>
      </c>
      <c r="B120" s="348"/>
      <c r="C120" s="348"/>
      <c r="D120" s="349"/>
      <c r="E120" s="348"/>
      <c r="F120" s="345"/>
      <c r="G120" s="346"/>
      <c r="H120" s="348">
        <v>699.646142</v>
      </c>
      <c r="I120" s="345"/>
      <c r="J120" s="349"/>
      <c r="K120" s="325"/>
      <c r="L120" s="325">
        <f t="shared" si="1"/>
        <v>699.646142</v>
      </c>
      <c r="M120" s="325"/>
      <c r="N120" s="363"/>
      <c r="O120" s="363"/>
      <c r="P120" s="364"/>
    </row>
    <row r="121" ht="16.5" customHeight="1" spans="1:16">
      <c r="A121" s="365" t="s">
        <v>156</v>
      </c>
      <c r="B121" s="348"/>
      <c r="C121" s="348"/>
      <c r="D121" s="349"/>
      <c r="E121" s="348"/>
      <c r="F121" s="345"/>
      <c r="G121" s="346"/>
      <c r="H121" s="348">
        <v>42</v>
      </c>
      <c r="I121" s="345"/>
      <c r="J121" s="349"/>
      <c r="K121" s="325"/>
      <c r="L121" s="325">
        <f t="shared" si="1"/>
        <v>42</v>
      </c>
      <c r="M121" s="325"/>
      <c r="N121" s="363"/>
      <c r="O121" s="363"/>
      <c r="P121" s="364"/>
    </row>
    <row r="122" ht="16.5" hidden="1" customHeight="1" spans="1:16">
      <c r="A122" s="365" t="s">
        <v>157</v>
      </c>
      <c r="B122" s="348"/>
      <c r="C122" s="348"/>
      <c r="D122" s="349"/>
      <c r="E122" s="348"/>
      <c r="F122" s="345"/>
      <c r="G122" s="346"/>
      <c r="H122" s="348">
        <v>0</v>
      </c>
      <c r="I122" s="345"/>
      <c r="J122" s="349"/>
      <c r="K122" s="325"/>
      <c r="L122" s="325">
        <f t="shared" si="1"/>
        <v>0</v>
      </c>
      <c r="M122" s="325"/>
      <c r="N122" s="363"/>
      <c r="O122" s="363"/>
      <c r="P122" s="364"/>
    </row>
    <row r="123" ht="16.5" customHeight="1" spans="1:16">
      <c r="A123" s="365" t="s">
        <v>224</v>
      </c>
      <c r="B123" s="348"/>
      <c r="C123" s="348"/>
      <c r="D123" s="349"/>
      <c r="E123" s="348"/>
      <c r="F123" s="345"/>
      <c r="G123" s="346"/>
      <c r="H123" s="348">
        <v>45</v>
      </c>
      <c r="I123" s="345"/>
      <c r="J123" s="349"/>
      <c r="K123" s="325"/>
      <c r="L123" s="325">
        <f t="shared" si="1"/>
        <v>45</v>
      </c>
      <c r="M123" s="325"/>
      <c r="N123" s="363"/>
      <c r="O123" s="363"/>
      <c r="P123" s="364"/>
    </row>
    <row r="124" ht="16.5" customHeight="1" spans="1:16">
      <c r="A124" s="365" t="s">
        <v>225</v>
      </c>
      <c r="B124" s="348"/>
      <c r="C124" s="348"/>
      <c r="D124" s="349"/>
      <c r="E124" s="348"/>
      <c r="F124" s="345"/>
      <c r="G124" s="346"/>
      <c r="H124" s="348">
        <v>26</v>
      </c>
      <c r="I124" s="345"/>
      <c r="J124" s="349"/>
      <c r="K124" s="325"/>
      <c r="L124" s="325">
        <f t="shared" si="1"/>
        <v>26</v>
      </c>
      <c r="M124" s="325"/>
      <c r="N124" s="363"/>
      <c r="O124" s="363"/>
      <c r="P124" s="364"/>
    </row>
    <row r="125" s="326" customFormat="1" ht="16.5" customHeight="1" spans="1:16">
      <c r="A125" s="347" t="s">
        <v>226</v>
      </c>
      <c r="B125" s="348">
        <v>664</v>
      </c>
      <c r="C125" s="348">
        <v>827</v>
      </c>
      <c r="D125" s="349">
        <f>C125/B125*100</f>
        <v>124.548192771084</v>
      </c>
      <c r="E125" s="348">
        <v>787</v>
      </c>
      <c r="F125" s="345">
        <f>C125-E125</f>
        <v>40</v>
      </c>
      <c r="G125" s="346">
        <f>F125/E125*100</f>
        <v>5.08259212198221</v>
      </c>
      <c r="H125" s="348">
        <f>SUM(H126:H131)</f>
        <v>687.986466</v>
      </c>
      <c r="I125" s="345">
        <f>H125-B125</f>
        <v>23.9864660000001</v>
      </c>
      <c r="J125" s="349">
        <f>I125/B125*100</f>
        <v>3.61241957831326</v>
      </c>
      <c r="K125" s="325"/>
      <c r="L125" s="325">
        <f t="shared" si="1"/>
        <v>2376.21613647138</v>
      </c>
      <c r="M125" s="325"/>
      <c r="N125" s="363"/>
      <c r="O125" s="363"/>
      <c r="P125" s="364"/>
    </row>
    <row r="126" ht="16.5" customHeight="1" spans="1:16">
      <c r="A126" s="347" t="s">
        <v>155</v>
      </c>
      <c r="B126" s="348"/>
      <c r="C126" s="348"/>
      <c r="D126" s="349"/>
      <c r="E126" s="348"/>
      <c r="F126" s="345"/>
      <c r="G126" s="346"/>
      <c r="H126" s="348">
        <v>594.238066</v>
      </c>
      <c r="I126" s="345"/>
      <c r="J126" s="349"/>
      <c r="K126" s="325"/>
      <c r="L126" s="325">
        <f t="shared" si="1"/>
        <v>594.238066</v>
      </c>
      <c r="M126" s="325"/>
      <c r="N126" s="363"/>
      <c r="O126" s="363"/>
      <c r="P126" s="364"/>
    </row>
    <row r="127" ht="16.5" customHeight="1" spans="1:16">
      <c r="A127" s="347" t="s">
        <v>156</v>
      </c>
      <c r="B127" s="348"/>
      <c r="C127" s="348"/>
      <c r="D127" s="349"/>
      <c r="E127" s="348"/>
      <c r="F127" s="345"/>
      <c r="G127" s="346"/>
      <c r="H127" s="348">
        <v>85.7484</v>
      </c>
      <c r="I127" s="345"/>
      <c r="J127" s="349"/>
      <c r="K127" s="325"/>
      <c r="L127" s="325">
        <f t="shared" si="1"/>
        <v>85.7484</v>
      </c>
      <c r="M127" s="325"/>
      <c r="N127" s="363"/>
      <c r="O127" s="363"/>
      <c r="P127" s="364"/>
    </row>
    <row r="128" ht="16.5" hidden="1" customHeight="1" spans="1:16">
      <c r="A128" s="347" t="s">
        <v>157</v>
      </c>
      <c r="B128" s="348"/>
      <c r="C128" s="348"/>
      <c r="D128" s="349"/>
      <c r="E128" s="348"/>
      <c r="F128" s="345"/>
      <c r="G128" s="346"/>
      <c r="H128" s="348">
        <v>0</v>
      </c>
      <c r="I128" s="345"/>
      <c r="J128" s="349"/>
      <c r="K128" s="325"/>
      <c r="L128" s="325">
        <f t="shared" si="1"/>
        <v>0</v>
      </c>
      <c r="M128" s="325"/>
      <c r="N128" s="363"/>
      <c r="O128" s="363"/>
      <c r="P128" s="364"/>
    </row>
    <row r="129" ht="16.5" hidden="1" customHeight="1" spans="1:16">
      <c r="A129" s="347" t="s">
        <v>169</v>
      </c>
      <c r="B129" s="348"/>
      <c r="C129" s="348"/>
      <c r="D129" s="349"/>
      <c r="E129" s="348"/>
      <c r="F129" s="345"/>
      <c r="G129" s="346"/>
      <c r="H129" s="348">
        <v>0</v>
      </c>
      <c r="I129" s="345"/>
      <c r="J129" s="349"/>
      <c r="K129" s="325"/>
      <c r="L129" s="325">
        <f t="shared" si="1"/>
        <v>0</v>
      </c>
      <c r="M129" s="325"/>
      <c r="N129" s="363"/>
      <c r="O129" s="363"/>
      <c r="P129" s="364"/>
    </row>
    <row r="130" ht="16.5" hidden="1" customHeight="1" spans="1:16">
      <c r="A130" s="347" t="s">
        <v>164</v>
      </c>
      <c r="B130" s="348"/>
      <c r="C130" s="348"/>
      <c r="D130" s="349"/>
      <c r="E130" s="348"/>
      <c r="F130" s="345"/>
      <c r="G130" s="346"/>
      <c r="H130" s="348">
        <v>0</v>
      </c>
      <c r="I130" s="345"/>
      <c r="J130" s="349"/>
      <c r="K130" s="325"/>
      <c r="L130" s="325">
        <f t="shared" si="1"/>
        <v>0</v>
      </c>
      <c r="M130" s="325"/>
      <c r="N130" s="363"/>
      <c r="O130" s="363"/>
      <c r="P130" s="364"/>
    </row>
    <row r="131" ht="16.5" customHeight="1" spans="1:16">
      <c r="A131" s="347" t="s">
        <v>227</v>
      </c>
      <c r="B131" s="348"/>
      <c r="C131" s="348">
        <v>0</v>
      </c>
      <c r="D131" s="349"/>
      <c r="E131" s="348"/>
      <c r="F131" s="345"/>
      <c r="G131" s="346"/>
      <c r="H131" s="348">
        <v>8</v>
      </c>
      <c r="I131" s="345"/>
      <c r="J131" s="349"/>
      <c r="K131" s="325"/>
      <c r="L131" s="325">
        <f t="shared" si="1"/>
        <v>8</v>
      </c>
      <c r="M131" s="325"/>
      <c r="N131" s="363"/>
      <c r="O131" s="363"/>
      <c r="P131" s="364"/>
    </row>
    <row r="132" s="326" customFormat="1" ht="16.5" customHeight="1" spans="1:16">
      <c r="A132" s="347" t="s">
        <v>228</v>
      </c>
      <c r="B132" s="348">
        <v>4673</v>
      </c>
      <c r="C132" s="348">
        <v>11624</v>
      </c>
      <c r="D132" s="349">
        <f>C132/B132*100</f>
        <v>248.748127541194</v>
      </c>
      <c r="E132" s="348">
        <v>10698</v>
      </c>
      <c r="F132" s="345">
        <f>C132-E132</f>
        <v>926</v>
      </c>
      <c r="G132" s="346">
        <f>F132/E132*100</f>
        <v>8.65582351841466</v>
      </c>
      <c r="H132" s="348">
        <f>SUM(H133:H138)</f>
        <v>5483.698382</v>
      </c>
      <c r="I132" s="345">
        <f>H132-B132</f>
        <v>810.698382</v>
      </c>
      <c r="J132" s="349">
        <f>I132/B132*100</f>
        <v>17.3485637063985</v>
      </c>
      <c r="K132" s="325"/>
      <c r="L132" s="325">
        <f t="shared" si="1"/>
        <v>23792.149278766</v>
      </c>
      <c r="M132" s="325"/>
      <c r="N132" s="363"/>
      <c r="O132" s="363"/>
      <c r="P132" s="364"/>
    </row>
    <row r="133" ht="16.5" customHeight="1" spans="1:16">
      <c r="A133" s="347" t="s">
        <v>155</v>
      </c>
      <c r="B133" s="348"/>
      <c r="C133" s="348"/>
      <c r="D133" s="349"/>
      <c r="E133" s="348"/>
      <c r="F133" s="345"/>
      <c r="G133" s="346"/>
      <c r="H133" s="348">
        <v>3733.99717</v>
      </c>
      <c r="I133" s="345"/>
      <c r="J133" s="349"/>
      <c r="K133" s="325"/>
      <c r="L133" s="325">
        <f t="shared" si="1"/>
        <v>3733.99717</v>
      </c>
      <c r="M133" s="325"/>
      <c r="N133" s="363"/>
      <c r="O133" s="363"/>
      <c r="P133" s="364"/>
    </row>
    <row r="134" ht="16.5" customHeight="1" spans="1:16">
      <c r="A134" s="347" t="s">
        <v>156</v>
      </c>
      <c r="B134" s="348"/>
      <c r="C134" s="348"/>
      <c r="D134" s="349"/>
      <c r="E134" s="348"/>
      <c r="F134" s="345"/>
      <c r="G134" s="346"/>
      <c r="H134" s="348">
        <v>336.4995</v>
      </c>
      <c r="I134" s="345"/>
      <c r="J134" s="349"/>
      <c r="K134" s="325"/>
      <c r="L134" s="325">
        <f t="shared" si="1"/>
        <v>336.4995</v>
      </c>
      <c r="M134" s="325"/>
      <c r="N134" s="363"/>
      <c r="O134" s="363"/>
      <c r="P134" s="364"/>
    </row>
    <row r="135" ht="16.5" hidden="1" customHeight="1" spans="1:16">
      <c r="A135" s="347" t="s">
        <v>157</v>
      </c>
      <c r="B135" s="348"/>
      <c r="C135" s="348"/>
      <c r="D135" s="349"/>
      <c r="E135" s="348"/>
      <c r="F135" s="345"/>
      <c r="G135" s="346"/>
      <c r="H135" s="348">
        <v>0</v>
      </c>
      <c r="I135" s="345"/>
      <c r="J135" s="349"/>
      <c r="K135" s="325"/>
      <c r="L135" s="325">
        <f t="shared" si="1"/>
        <v>0</v>
      </c>
      <c r="M135" s="325"/>
      <c r="N135" s="363"/>
      <c r="O135" s="363"/>
      <c r="P135" s="364"/>
    </row>
    <row r="136" ht="16.5" customHeight="1" spans="1:16">
      <c r="A136" s="347" t="s">
        <v>229</v>
      </c>
      <c r="B136" s="348"/>
      <c r="C136" s="348"/>
      <c r="D136" s="349"/>
      <c r="E136" s="348"/>
      <c r="F136" s="345"/>
      <c r="G136" s="346"/>
      <c r="H136" s="348">
        <v>830</v>
      </c>
      <c r="I136" s="345"/>
      <c r="J136" s="349"/>
      <c r="K136" s="325"/>
      <c r="L136" s="325">
        <f t="shared" ref="L136:L199" si="2">B136+C136+D136+F136+G136+H136+I136+J136</f>
        <v>830</v>
      </c>
      <c r="M136" s="325"/>
      <c r="N136" s="363"/>
      <c r="O136" s="363"/>
      <c r="P136" s="364"/>
    </row>
    <row r="137" ht="16.5" customHeight="1" spans="1:16">
      <c r="A137" s="347" t="s">
        <v>164</v>
      </c>
      <c r="B137" s="348"/>
      <c r="C137" s="348"/>
      <c r="D137" s="349"/>
      <c r="E137" s="348"/>
      <c r="F137" s="345"/>
      <c r="G137" s="346"/>
      <c r="H137" s="348">
        <v>392.601712</v>
      </c>
      <c r="I137" s="345"/>
      <c r="J137" s="349"/>
      <c r="K137" s="325"/>
      <c r="L137" s="325">
        <f t="shared" si="2"/>
        <v>392.601712</v>
      </c>
      <c r="M137" s="325"/>
      <c r="N137" s="363"/>
      <c r="O137" s="363"/>
      <c r="P137" s="364"/>
    </row>
    <row r="138" ht="16.5" customHeight="1" spans="1:16">
      <c r="A138" s="347" t="s">
        <v>230</v>
      </c>
      <c r="B138" s="348"/>
      <c r="C138" s="348"/>
      <c r="D138" s="349"/>
      <c r="E138" s="348"/>
      <c r="F138" s="345"/>
      <c r="G138" s="346"/>
      <c r="H138" s="348">
        <v>190.6</v>
      </c>
      <c r="I138" s="345"/>
      <c r="J138" s="349"/>
      <c r="K138" s="325"/>
      <c r="L138" s="325">
        <f t="shared" si="2"/>
        <v>190.6</v>
      </c>
      <c r="M138" s="325"/>
      <c r="N138" s="363"/>
      <c r="O138" s="363"/>
      <c r="P138" s="364"/>
    </row>
    <row r="139" s="326" customFormat="1" ht="16.5" customHeight="1" spans="1:16">
      <c r="A139" s="347" t="s">
        <v>231</v>
      </c>
      <c r="B139" s="348">
        <v>9394</v>
      </c>
      <c r="C139" s="348">
        <v>12440</v>
      </c>
      <c r="D139" s="349">
        <f>C139/B139*100</f>
        <v>132.424952097083</v>
      </c>
      <c r="E139" s="348">
        <v>10358</v>
      </c>
      <c r="F139" s="345">
        <f>C139-E139</f>
        <v>2082</v>
      </c>
      <c r="G139" s="346">
        <f>F139/E139*100</f>
        <v>20.1004054836841</v>
      </c>
      <c r="H139" s="348">
        <f>SUM(H140:H145)</f>
        <v>10003.749865</v>
      </c>
      <c r="I139" s="345">
        <f>H139-B139</f>
        <v>609.749865</v>
      </c>
      <c r="J139" s="349">
        <f>I139/B139*100</f>
        <v>6.49084378326591</v>
      </c>
      <c r="K139" s="325"/>
      <c r="L139" s="325">
        <f t="shared" si="2"/>
        <v>34688.515931364</v>
      </c>
      <c r="M139" s="325"/>
      <c r="N139" s="363"/>
      <c r="O139" s="363"/>
      <c r="P139" s="364"/>
    </row>
    <row r="140" ht="16.5" customHeight="1" spans="1:16">
      <c r="A140" s="347" t="s">
        <v>155</v>
      </c>
      <c r="B140" s="348"/>
      <c r="C140" s="348"/>
      <c r="D140" s="349"/>
      <c r="E140" s="348"/>
      <c r="F140" s="345"/>
      <c r="G140" s="346"/>
      <c r="H140" s="348">
        <v>7775.618647</v>
      </c>
      <c r="I140" s="345"/>
      <c r="J140" s="349"/>
      <c r="K140" s="325"/>
      <c r="L140" s="325">
        <f t="shared" si="2"/>
        <v>7775.618647</v>
      </c>
      <c r="M140" s="325"/>
      <c r="N140" s="363"/>
      <c r="O140" s="363"/>
      <c r="P140" s="364"/>
    </row>
    <row r="141" ht="16.5" customHeight="1" spans="1:16">
      <c r="A141" s="347" t="s">
        <v>156</v>
      </c>
      <c r="B141" s="348"/>
      <c r="C141" s="348"/>
      <c r="D141" s="349"/>
      <c r="E141" s="348"/>
      <c r="F141" s="345"/>
      <c r="G141" s="346"/>
      <c r="H141" s="348">
        <v>530.2</v>
      </c>
      <c r="I141" s="345"/>
      <c r="J141" s="349"/>
      <c r="K141" s="325"/>
      <c r="L141" s="325">
        <f t="shared" si="2"/>
        <v>530.2</v>
      </c>
      <c r="M141" s="325"/>
      <c r="N141" s="363"/>
      <c r="O141" s="363"/>
      <c r="P141" s="364"/>
    </row>
    <row r="142" ht="16.5" customHeight="1" spans="1:16">
      <c r="A142" s="347" t="s">
        <v>157</v>
      </c>
      <c r="B142" s="348"/>
      <c r="C142" s="348"/>
      <c r="D142" s="349"/>
      <c r="E142" s="348"/>
      <c r="F142" s="345"/>
      <c r="G142" s="346"/>
      <c r="H142" s="348">
        <v>18</v>
      </c>
      <c r="I142" s="345"/>
      <c r="J142" s="349"/>
      <c r="K142" s="325"/>
      <c r="L142" s="325">
        <f t="shared" si="2"/>
        <v>18</v>
      </c>
      <c r="M142" s="325"/>
      <c r="N142" s="363"/>
      <c r="O142" s="363"/>
      <c r="P142" s="364"/>
    </row>
    <row r="143" ht="16.5" customHeight="1" spans="1:16">
      <c r="A143" s="347" t="s">
        <v>232</v>
      </c>
      <c r="B143" s="348"/>
      <c r="C143" s="348"/>
      <c r="D143" s="349"/>
      <c r="E143" s="348"/>
      <c r="F143" s="345"/>
      <c r="G143" s="346"/>
      <c r="H143" s="348">
        <v>20</v>
      </c>
      <c r="I143" s="345"/>
      <c r="J143" s="349"/>
      <c r="K143" s="325"/>
      <c r="L143" s="325">
        <f t="shared" si="2"/>
        <v>20</v>
      </c>
      <c r="M143" s="325"/>
      <c r="N143" s="363"/>
      <c r="O143" s="363"/>
      <c r="P143" s="364"/>
    </row>
    <row r="144" ht="16.5" customHeight="1" spans="1:16">
      <c r="A144" s="347" t="s">
        <v>164</v>
      </c>
      <c r="B144" s="348"/>
      <c r="C144" s="348"/>
      <c r="D144" s="349"/>
      <c r="E144" s="348"/>
      <c r="F144" s="345"/>
      <c r="G144" s="346"/>
      <c r="H144" s="348">
        <v>1365.931218</v>
      </c>
      <c r="I144" s="345"/>
      <c r="J144" s="349"/>
      <c r="K144" s="325"/>
      <c r="L144" s="325">
        <f t="shared" si="2"/>
        <v>1365.931218</v>
      </c>
      <c r="M144" s="325"/>
      <c r="N144" s="363"/>
      <c r="O144" s="363"/>
      <c r="P144" s="364"/>
    </row>
    <row r="145" ht="16.5" customHeight="1" spans="1:16">
      <c r="A145" s="347" t="s">
        <v>233</v>
      </c>
      <c r="B145" s="348"/>
      <c r="C145" s="348"/>
      <c r="D145" s="349"/>
      <c r="E145" s="348"/>
      <c r="F145" s="345"/>
      <c r="G145" s="346"/>
      <c r="H145" s="348">
        <v>294</v>
      </c>
      <c r="I145" s="345"/>
      <c r="J145" s="349"/>
      <c r="K145" s="325"/>
      <c r="L145" s="325">
        <f t="shared" si="2"/>
        <v>294</v>
      </c>
      <c r="M145" s="325"/>
      <c r="N145" s="363"/>
      <c r="O145" s="363"/>
      <c r="P145" s="364"/>
    </row>
    <row r="146" s="326" customFormat="1" ht="16.5" customHeight="1" spans="1:16">
      <c r="A146" s="347" t="s">
        <v>234</v>
      </c>
      <c r="B146" s="348">
        <v>15145</v>
      </c>
      <c r="C146" s="348">
        <v>9843</v>
      </c>
      <c r="D146" s="349">
        <f>C146/B146*100</f>
        <v>64.9917464509739</v>
      </c>
      <c r="E146" s="348">
        <v>9202</v>
      </c>
      <c r="F146" s="345">
        <f>C146-E146</f>
        <v>641</v>
      </c>
      <c r="G146" s="346">
        <f>F146/E146*100</f>
        <v>6.96587698326451</v>
      </c>
      <c r="H146" s="348">
        <f>SUM(H147:H152)</f>
        <v>15148.314216</v>
      </c>
      <c r="I146" s="345">
        <f>H146-B146</f>
        <v>3.31421599999885</v>
      </c>
      <c r="J146" s="349">
        <f>I146/B146*100</f>
        <v>0.0218832353912106</v>
      </c>
      <c r="K146" s="325"/>
      <c r="L146" s="325">
        <f t="shared" si="2"/>
        <v>40852.6079386696</v>
      </c>
      <c r="M146" s="325"/>
      <c r="N146" s="363"/>
      <c r="O146" s="363"/>
      <c r="P146" s="364"/>
    </row>
    <row r="147" ht="16.5" customHeight="1" spans="1:16">
      <c r="A147" s="347" t="s">
        <v>155</v>
      </c>
      <c r="B147" s="348"/>
      <c r="C147" s="348"/>
      <c r="D147" s="349"/>
      <c r="E147" s="348"/>
      <c r="F147" s="345"/>
      <c r="G147" s="346"/>
      <c r="H147" s="348">
        <v>8757.014216</v>
      </c>
      <c r="I147" s="345"/>
      <c r="J147" s="349"/>
      <c r="K147" s="325"/>
      <c r="L147" s="325">
        <f t="shared" si="2"/>
        <v>8757.014216</v>
      </c>
      <c r="M147" s="325"/>
      <c r="N147" s="363"/>
      <c r="O147" s="363"/>
      <c r="P147" s="364"/>
    </row>
    <row r="148" ht="16.5" customHeight="1" spans="1:16">
      <c r="A148" s="347" t="s">
        <v>156</v>
      </c>
      <c r="B148" s="348"/>
      <c r="C148" s="348"/>
      <c r="D148" s="349"/>
      <c r="E148" s="348"/>
      <c r="F148" s="345"/>
      <c r="G148" s="346"/>
      <c r="H148" s="348">
        <v>622.3</v>
      </c>
      <c r="I148" s="345"/>
      <c r="J148" s="349"/>
      <c r="K148" s="325"/>
      <c r="L148" s="325">
        <f t="shared" si="2"/>
        <v>622.3</v>
      </c>
      <c r="M148" s="325"/>
      <c r="N148" s="363"/>
      <c r="O148" s="363"/>
      <c r="P148" s="364"/>
    </row>
    <row r="149" ht="16.5" hidden="1" customHeight="1" spans="1:16">
      <c r="A149" s="347" t="s">
        <v>157</v>
      </c>
      <c r="B149" s="348"/>
      <c r="C149" s="348"/>
      <c r="D149" s="349"/>
      <c r="E149" s="348"/>
      <c r="F149" s="345"/>
      <c r="G149" s="346"/>
      <c r="H149" s="348">
        <v>0</v>
      </c>
      <c r="I149" s="345"/>
      <c r="J149" s="349"/>
      <c r="K149" s="325"/>
      <c r="L149" s="325">
        <f t="shared" si="2"/>
        <v>0</v>
      </c>
      <c r="M149" s="325"/>
      <c r="N149" s="363"/>
      <c r="O149" s="363"/>
      <c r="P149" s="364"/>
    </row>
    <row r="150" ht="16.5" customHeight="1" spans="1:16">
      <c r="A150" s="347" t="s">
        <v>235</v>
      </c>
      <c r="B150" s="348"/>
      <c r="C150" s="348"/>
      <c r="D150" s="349"/>
      <c r="E150" s="348"/>
      <c r="F150" s="345"/>
      <c r="G150" s="346"/>
      <c r="H150" s="348">
        <v>76</v>
      </c>
      <c r="I150" s="345"/>
      <c r="J150" s="349"/>
      <c r="K150" s="325"/>
      <c r="L150" s="325">
        <f t="shared" si="2"/>
        <v>76</v>
      </c>
      <c r="M150" s="325"/>
      <c r="N150" s="363"/>
      <c r="O150" s="363"/>
      <c r="P150" s="364"/>
    </row>
    <row r="151" ht="16.5" customHeight="1" spans="1:16">
      <c r="A151" s="347" t="s">
        <v>164</v>
      </c>
      <c r="B151" s="348"/>
      <c r="C151" s="348"/>
      <c r="D151" s="349"/>
      <c r="E151" s="348"/>
      <c r="F151" s="345"/>
      <c r="G151" s="346"/>
      <c r="H151" s="348">
        <v>522</v>
      </c>
      <c r="I151" s="345"/>
      <c r="J151" s="349"/>
      <c r="K151" s="325"/>
      <c r="L151" s="325">
        <f t="shared" si="2"/>
        <v>522</v>
      </c>
      <c r="M151" s="325"/>
      <c r="N151" s="363"/>
      <c r="O151" s="363"/>
      <c r="P151" s="364"/>
    </row>
    <row r="152" ht="16.5" customHeight="1" spans="1:16">
      <c r="A152" s="347" t="s">
        <v>236</v>
      </c>
      <c r="B152" s="348"/>
      <c r="C152" s="348"/>
      <c r="D152" s="349"/>
      <c r="E152" s="348"/>
      <c r="F152" s="345"/>
      <c r="G152" s="346"/>
      <c r="H152" s="348">
        <f>4611+560</f>
        <v>5171</v>
      </c>
      <c r="I152" s="345"/>
      <c r="J152" s="349"/>
      <c r="K152" s="325"/>
      <c r="L152" s="325">
        <f t="shared" si="2"/>
        <v>5171</v>
      </c>
      <c r="M152" s="325"/>
      <c r="N152" s="363"/>
      <c r="O152" s="363"/>
      <c r="P152" s="364"/>
    </row>
    <row r="153" s="326" customFormat="1" ht="16.5" customHeight="1" spans="1:16">
      <c r="A153" s="347" t="s">
        <v>237</v>
      </c>
      <c r="B153" s="348">
        <v>4157</v>
      </c>
      <c r="C153" s="348">
        <v>5852</v>
      </c>
      <c r="D153" s="349">
        <f>C153/B153*100</f>
        <v>140.774597065191</v>
      </c>
      <c r="E153" s="348">
        <v>5443</v>
      </c>
      <c r="F153" s="345">
        <f>C153-E153</f>
        <v>409</v>
      </c>
      <c r="G153" s="346">
        <f>F153/E153*100</f>
        <v>7.5142384714312</v>
      </c>
      <c r="H153" s="348">
        <f>SUM(H154:H159)</f>
        <v>3971.141849</v>
      </c>
      <c r="I153" s="345">
        <f>H153-B153</f>
        <v>-185.858151</v>
      </c>
      <c r="J153" s="349">
        <f>I153/B153*100</f>
        <v>-4.4709682703873</v>
      </c>
      <c r="K153" s="325"/>
      <c r="L153" s="325">
        <f t="shared" si="2"/>
        <v>14347.1015652662</v>
      </c>
      <c r="M153" s="325"/>
      <c r="N153" s="363"/>
      <c r="O153" s="363"/>
      <c r="P153" s="364"/>
    </row>
    <row r="154" ht="16.5" customHeight="1" spans="1:16">
      <c r="A154" s="347" t="s">
        <v>155</v>
      </c>
      <c r="B154" s="348"/>
      <c r="C154" s="348"/>
      <c r="D154" s="349"/>
      <c r="E154" s="348"/>
      <c r="F154" s="345"/>
      <c r="G154" s="346"/>
      <c r="H154" s="348">
        <v>2297.013272</v>
      </c>
      <c r="I154" s="345"/>
      <c r="J154" s="349"/>
      <c r="K154" s="325"/>
      <c r="L154" s="325">
        <f t="shared" si="2"/>
        <v>2297.013272</v>
      </c>
      <c r="M154" s="325"/>
      <c r="N154" s="363"/>
      <c r="O154" s="363"/>
      <c r="P154" s="364"/>
    </row>
    <row r="155" ht="16.5" customHeight="1" spans="1:16">
      <c r="A155" s="347" t="s">
        <v>156</v>
      </c>
      <c r="B155" s="348"/>
      <c r="C155" s="348"/>
      <c r="D155" s="349"/>
      <c r="E155" s="348"/>
      <c r="F155" s="345"/>
      <c r="G155" s="346"/>
      <c r="H155" s="348">
        <v>669</v>
      </c>
      <c r="I155" s="345"/>
      <c r="J155" s="349"/>
      <c r="K155" s="325"/>
      <c r="L155" s="325">
        <f t="shared" si="2"/>
        <v>669</v>
      </c>
      <c r="M155" s="325"/>
      <c r="N155" s="363"/>
      <c r="O155" s="363"/>
      <c r="P155" s="364"/>
    </row>
    <row r="156" ht="16.5" hidden="1" customHeight="1" spans="1:16">
      <c r="A156" s="347" t="s">
        <v>157</v>
      </c>
      <c r="B156" s="348"/>
      <c r="C156" s="348"/>
      <c r="D156" s="349"/>
      <c r="E156" s="348"/>
      <c r="F156" s="345"/>
      <c r="G156" s="346"/>
      <c r="H156" s="348">
        <v>0</v>
      </c>
      <c r="I156" s="345"/>
      <c r="J156" s="349"/>
      <c r="K156" s="325"/>
      <c r="L156" s="325">
        <f t="shared" si="2"/>
        <v>0</v>
      </c>
      <c r="M156" s="325"/>
      <c r="N156" s="363"/>
      <c r="O156" s="363"/>
      <c r="P156" s="364"/>
    </row>
    <row r="157" ht="16.5" hidden="1" customHeight="1" spans="1:16">
      <c r="A157" s="347" t="s">
        <v>238</v>
      </c>
      <c r="B157" s="348"/>
      <c r="C157" s="348"/>
      <c r="D157" s="349"/>
      <c r="E157" s="348"/>
      <c r="F157" s="345"/>
      <c r="G157" s="346"/>
      <c r="H157" s="348">
        <v>0</v>
      </c>
      <c r="I157" s="345"/>
      <c r="J157" s="349"/>
      <c r="K157" s="325"/>
      <c r="L157" s="325">
        <f t="shared" si="2"/>
        <v>0</v>
      </c>
      <c r="M157" s="325"/>
      <c r="N157" s="363"/>
      <c r="O157" s="363"/>
      <c r="P157" s="364"/>
    </row>
    <row r="158" ht="16.5" customHeight="1" spans="1:16">
      <c r="A158" s="347" t="s">
        <v>164</v>
      </c>
      <c r="B158" s="348"/>
      <c r="C158" s="348"/>
      <c r="D158" s="349"/>
      <c r="E158" s="348"/>
      <c r="F158" s="345"/>
      <c r="G158" s="346"/>
      <c r="H158" s="348">
        <v>396</v>
      </c>
      <c r="I158" s="345"/>
      <c r="J158" s="349"/>
      <c r="K158" s="325"/>
      <c r="L158" s="325">
        <f t="shared" si="2"/>
        <v>396</v>
      </c>
      <c r="M158" s="325"/>
      <c r="N158" s="363"/>
      <c r="O158" s="363"/>
      <c r="P158" s="364"/>
    </row>
    <row r="159" ht="16.5" customHeight="1" spans="1:16">
      <c r="A159" s="347" t="s">
        <v>239</v>
      </c>
      <c r="B159" s="348"/>
      <c r="C159" s="348"/>
      <c r="D159" s="349"/>
      <c r="E159" s="348"/>
      <c r="F159" s="345"/>
      <c r="G159" s="346"/>
      <c r="H159" s="348">
        <v>609.128577</v>
      </c>
      <c r="I159" s="345"/>
      <c r="J159" s="349"/>
      <c r="K159" s="325"/>
      <c r="L159" s="325">
        <f t="shared" si="2"/>
        <v>609.128577</v>
      </c>
      <c r="M159" s="325"/>
      <c r="N159" s="363"/>
      <c r="O159" s="363"/>
      <c r="P159" s="364"/>
    </row>
    <row r="160" s="326" customFormat="1" ht="16.5" customHeight="1" spans="1:16">
      <c r="A160" s="347" t="s">
        <v>240</v>
      </c>
      <c r="B160" s="348">
        <v>2464</v>
      </c>
      <c r="C160" s="348">
        <v>3008</v>
      </c>
      <c r="D160" s="349">
        <f>C160/B160*100</f>
        <v>122.077922077922</v>
      </c>
      <c r="E160" s="348">
        <v>2739</v>
      </c>
      <c r="F160" s="345">
        <f>C160-E160</f>
        <v>269</v>
      </c>
      <c r="G160" s="346">
        <f>F160/E160*100</f>
        <v>9.82110259218693</v>
      </c>
      <c r="H160" s="348">
        <f>SUM(H161:H167)</f>
        <v>2479.731669</v>
      </c>
      <c r="I160" s="345">
        <f>H160-B160</f>
        <v>15.7316689999998</v>
      </c>
      <c r="J160" s="349">
        <f>I160/B160*100</f>
        <v>0.638460592532459</v>
      </c>
      <c r="K160" s="325"/>
      <c r="L160" s="325">
        <f t="shared" si="2"/>
        <v>8369.00082326264</v>
      </c>
      <c r="M160" s="325"/>
      <c r="N160" s="363"/>
      <c r="O160" s="363"/>
      <c r="P160" s="364"/>
    </row>
    <row r="161" ht="16.5" customHeight="1" spans="1:16">
      <c r="A161" s="347" t="s">
        <v>155</v>
      </c>
      <c r="B161" s="348"/>
      <c r="C161" s="348"/>
      <c r="D161" s="349"/>
      <c r="E161" s="348"/>
      <c r="F161" s="345"/>
      <c r="G161" s="346"/>
      <c r="H161" s="348">
        <v>1642.678688</v>
      </c>
      <c r="I161" s="345"/>
      <c r="J161" s="349"/>
      <c r="K161" s="325"/>
      <c r="L161" s="325">
        <f t="shared" si="2"/>
        <v>1642.678688</v>
      </c>
      <c r="M161" s="325"/>
      <c r="N161" s="363"/>
      <c r="O161" s="363"/>
      <c r="P161" s="364"/>
    </row>
    <row r="162" ht="16.5" customHeight="1" spans="1:16">
      <c r="A162" s="347" t="s">
        <v>156</v>
      </c>
      <c r="B162" s="348"/>
      <c r="C162" s="348"/>
      <c r="D162" s="349"/>
      <c r="E162" s="348"/>
      <c r="F162" s="345"/>
      <c r="G162" s="346"/>
      <c r="H162" s="348">
        <v>505.5</v>
      </c>
      <c r="I162" s="345"/>
      <c r="J162" s="349"/>
      <c r="K162" s="325"/>
      <c r="L162" s="325">
        <f t="shared" si="2"/>
        <v>505.5</v>
      </c>
      <c r="M162" s="325"/>
      <c r="N162" s="363"/>
      <c r="O162" s="363"/>
      <c r="P162" s="364"/>
    </row>
    <row r="163" ht="16.5" hidden="1" customHeight="1" spans="1:16">
      <c r="A163" s="347" t="s">
        <v>157</v>
      </c>
      <c r="B163" s="348"/>
      <c r="C163" s="348"/>
      <c r="D163" s="349"/>
      <c r="E163" s="348"/>
      <c r="F163" s="345"/>
      <c r="G163" s="346"/>
      <c r="H163" s="348">
        <v>0</v>
      </c>
      <c r="I163" s="345"/>
      <c r="J163" s="349"/>
      <c r="K163" s="325"/>
      <c r="L163" s="325">
        <f t="shared" si="2"/>
        <v>0</v>
      </c>
      <c r="M163" s="325"/>
      <c r="N163" s="363"/>
      <c r="O163" s="363"/>
      <c r="P163" s="364"/>
    </row>
    <row r="164" ht="16.5" customHeight="1" spans="1:16">
      <c r="A164" s="347" t="s">
        <v>241</v>
      </c>
      <c r="B164" s="348"/>
      <c r="C164" s="348"/>
      <c r="D164" s="349"/>
      <c r="E164" s="348"/>
      <c r="F164" s="345"/>
      <c r="G164" s="346"/>
      <c r="H164" s="348">
        <v>33.5</v>
      </c>
      <c r="I164" s="345"/>
      <c r="J164" s="349"/>
      <c r="K164" s="325"/>
      <c r="L164" s="325">
        <f t="shared" si="2"/>
        <v>33.5</v>
      </c>
      <c r="M164" s="325"/>
      <c r="N164" s="363"/>
      <c r="O164" s="363"/>
      <c r="P164" s="364"/>
    </row>
    <row r="165" ht="16.5" customHeight="1" spans="1:16">
      <c r="A165" s="347" t="s">
        <v>242</v>
      </c>
      <c r="B165" s="366"/>
      <c r="C165" s="366"/>
      <c r="D165" s="349"/>
      <c r="E165" s="366"/>
      <c r="F165" s="366"/>
      <c r="G165" s="366"/>
      <c r="H165" s="348">
        <v>77</v>
      </c>
      <c r="I165" s="345"/>
      <c r="J165" s="349"/>
      <c r="K165" s="325"/>
      <c r="L165" s="325">
        <f t="shared" si="2"/>
        <v>77</v>
      </c>
      <c r="M165" s="325"/>
      <c r="N165" s="363"/>
      <c r="O165" s="363"/>
      <c r="P165" s="364"/>
    </row>
    <row r="166" ht="16.5" customHeight="1" spans="1:16">
      <c r="A166" s="347" t="s">
        <v>164</v>
      </c>
      <c r="B166" s="366"/>
      <c r="C166" s="366"/>
      <c r="D166" s="349"/>
      <c r="E166" s="366"/>
      <c r="F166" s="366"/>
      <c r="G166" s="366"/>
      <c r="H166" s="348">
        <v>201.052981</v>
      </c>
      <c r="I166" s="345"/>
      <c r="J166" s="349"/>
      <c r="K166" s="325"/>
      <c r="L166" s="325">
        <f t="shared" si="2"/>
        <v>201.052981</v>
      </c>
      <c r="M166" s="325"/>
      <c r="N166" s="363"/>
      <c r="O166" s="363"/>
      <c r="P166" s="364"/>
    </row>
    <row r="167" ht="16.5" customHeight="1" spans="1:16">
      <c r="A167" s="347" t="s">
        <v>243</v>
      </c>
      <c r="B167" s="348"/>
      <c r="C167" s="348"/>
      <c r="D167" s="349"/>
      <c r="E167" s="348"/>
      <c r="F167" s="345"/>
      <c r="G167" s="346"/>
      <c r="H167" s="348">
        <v>20</v>
      </c>
      <c r="I167" s="345"/>
      <c r="J167" s="349"/>
      <c r="K167" s="325"/>
      <c r="L167" s="325">
        <f t="shared" si="2"/>
        <v>20</v>
      </c>
      <c r="M167" s="325"/>
      <c r="N167" s="363"/>
      <c r="O167" s="363"/>
      <c r="P167" s="364"/>
    </row>
    <row r="168" s="326" customFormat="1" ht="16.5" hidden="1" customHeight="1" spans="1:16">
      <c r="A168" s="347" t="s">
        <v>244</v>
      </c>
      <c r="B168" s="348"/>
      <c r="C168" s="348">
        <v>0</v>
      </c>
      <c r="D168" s="349"/>
      <c r="E168" s="348"/>
      <c r="F168" s="345">
        <f>C168-E168</f>
        <v>0</v>
      </c>
      <c r="G168" s="346"/>
      <c r="H168" s="348">
        <f>SUM(H169:H173)</f>
        <v>0</v>
      </c>
      <c r="I168" s="345">
        <f>H168-B168</f>
        <v>0</v>
      </c>
      <c r="J168" s="349"/>
      <c r="K168" s="325"/>
      <c r="L168" s="325">
        <f t="shared" si="2"/>
        <v>0</v>
      </c>
      <c r="M168" s="325"/>
      <c r="N168" s="363"/>
      <c r="O168" s="363"/>
      <c r="P168" s="364"/>
    </row>
    <row r="169" ht="16.5" hidden="1" customHeight="1" spans="1:16">
      <c r="A169" s="347" t="s">
        <v>155</v>
      </c>
      <c r="B169" s="348"/>
      <c r="C169" s="348">
        <v>0</v>
      </c>
      <c r="D169" s="349"/>
      <c r="E169" s="348"/>
      <c r="F169" s="345"/>
      <c r="G169" s="346"/>
      <c r="H169" s="348"/>
      <c r="I169" s="345"/>
      <c r="J169" s="349"/>
      <c r="K169" s="325"/>
      <c r="L169" s="325">
        <f t="shared" si="2"/>
        <v>0</v>
      </c>
      <c r="M169" s="325"/>
      <c r="N169" s="363"/>
      <c r="O169" s="363"/>
      <c r="P169" s="364"/>
    </row>
    <row r="170" ht="16.5" hidden="1" customHeight="1" spans="1:16">
      <c r="A170" s="347" t="s">
        <v>156</v>
      </c>
      <c r="B170" s="348"/>
      <c r="C170" s="348">
        <v>0</v>
      </c>
      <c r="D170" s="349"/>
      <c r="E170" s="348"/>
      <c r="F170" s="345"/>
      <c r="G170" s="346"/>
      <c r="H170" s="348"/>
      <c r="I170" s="345"/>
      <c r="J170" s="349"/>
      <c r="K170" s="325"/>
      <c r="L170" s="325">
        <f t="shared" si="2"/>
        <v>0</v>
      </c>
      <c r="M170" s="325"/>
      <c r="N170" s="363"/>
      <c r="O170" s="363"/>
      <c r="P170" s="364"/>
    </row>
    <row r="171" ht="16.5" hidden="1" customHeight="1" spans="1:16">
      <c r="A171" s="347" t="s">
        <v>157</v>
      </c>
      <c r="B171" s="348"/>
      <c r="C171" s="348">
        <v>0</v>
      </c>
      <c r="D171" s="349"/>
      <c r="E171" s="348"/>
      <c r="F171" s="345"/>
      <c r="G171" s="346"/>
      <c r="H171" s="348"/>
      <c r="I171" s="345"/>
      <c r="J171" s="349"/>
      <c r="K171" s="325"/>
      <c r="L171" s="325">
        <f t="shared" si="2"/>
        <v>0</v>
      </c>
      <c r="M171" s="325"/>
      <c r="N171" s="363"/>
      <c r="O171" s="363"/>
      <c r="P171" s="364"/>
    </row>
    <row r="172" ht="16.5" hidden="1" customHeight="1" spans="1:16">
      <c r="A172" s="347" t="s">
        <v>164</v>
      </c>
      <c r="B172" s="348"/>
      <c r="C172" s="348">
        <v>0</v>
      </c>
      <c r="D172" s="349"/>
      <c r="E172" s="348"/>
      <c r="F172" s="345"/>
      <c r="G172" s="346"/>
      <c r="H172" s="348"/>
      <c r="I172" s="345"/>
      <c r="J172" s="349"/>
      <c r="K172" s="325"/>
      <c r="L172" s="325">
        <f t="shared" si="2"/>
        <v>0</v>
      </c>
      <c r="M172" s="325"/>
      <c r="N172" s="363"/>
      <c r="O172" s="363"/>
      <c r="P172" s="364"/>
    </row>
    <row r="173" ht="16.5" hidden="1" customHeight="1" spans="1:16">
      <c r="A173" s="347" t="s">
        <v>245</v>
      </c>
      <c r="B173" s="348"/>
      <c r="C173" s="348">
        <v>0</v>
      </c>
      <c r="D173" s="349"/>
      <c r="E173" s="348"/>
      <c r="F173" s="345"/>
      <c r="G173" s="346"/>
      <c r="H173" s="348"/>
      <c r="I173" s="345"/>
      <c r="J173" s="349"/>
      <c r="K173" s="325"/>
      <c r="L173" s="325">
        <f t="shared" si="2"/>
        <v>0</v>
      </c>
      <c r="M173" s="325"/>
      <c r="N173" s="363"/>
      <c r="O173" s="363"/>
      <c r="P173" s="364"/>
    </row>
    <row r="174" s="326" customFormat="1" ht="16.5" customHeight="1" spans="1:16">
      <c r="A174" s="347" t="s">
        <v>246</v>
      </c>
      <c r="B174" s="348">
        <v>4275</v>
      </c>
      <c r="C174" s="348">
        <v>7477</v>
      </c>
      <c r="D174" s="349">
        <f>C174/B174*100</f>
        <v>174.900584795322</v>
      </c>
      <c r="E174" s="348">
        <v>6854</v>
      </c>
      <c r="F174" s="345">
        <f>C174-E174</f>
        <v>623</v>
      </c>
      <c r="G174" s="346">
        <f>F174/E174*100</f>
        <v>9.08958272541581</v>
      </c>
      <c r="H174" s="348">
        <f>SUM(H175:H179)</f>
        <v>4444.364017</v>
      </c>
      <c r="I174" s="345">
        <f>H174-B174</f>
        <v>169.364016999999</v>
      </c>
      <c r="J174" s="349">
        <f>I174/B174*100</f>
        <v>3.96173139181284</v>
      </c>
      <c r="K174" s="325"/>
      <c r="L174" s="325">
        <f t="shared" si="2"/>
        <v>17176.6799329125</v>
      </c>
      <c r="M174" s="325"/>
      <c r="N174" s="363"/>
      <c r="O174" s="363"/>
      <c r="P174" s="364"/>
    </row>
    <row r="175" ht="16.5" customHeight="1" spans="1:16">
      <c r="A175" s="347" t="s">
        <v>155</v>
      </c>
      <c r="B175" s="348"/>
      <c r="C175" s="348"/>
      <c r="D175" s="349"/>
      <c r="E175" s="348"/>
      <c r="F175" s="345"/>
      <c r="G175" s="346"/>
      <c r="H175" s="348">
        <v>3218.101844</v>
      </c>
      <c r="I175" s="345"/>
      <c r="J175" s="349"/>
      <c r="K175" s="325"/>
      <c r="L175" s="325">
        <f t="shared" si="2"/>
        <v>3218.101844</v>
      </c>
      <c r="M175" s="325"/>
      <c r="N175" s="363"/>
      <c r="O175" s="363"/>
      <c r="P175" s="364"/>
    </row>
    <row r="176" ht="16.5" customHeight="1" spans="1:16">
      <c r="A176" s="347" t="s">
        <v>156</v>
      </c>
      <c r="B176" s="348"/>
      <c r="C176" s="348"/>
      <c r="D176" s="349"/>
      <c r="E176" s="348"/>
      <c r="F176" s="345"/>
      <c r="G176" s="346"/>
      <c r="H176" s="348">
        <v>122.214</v>
      </c>
      <c r="I176" s="345"/>
      <c r="J176" s="349"/>
      <c r="K176" s="325"/>
      <c r="L176" s="325">
        <f t="shared" si="2"/>
        <v>122.214</v>
      </c>
      <c r="M176" s="325"/>
      <c r="N176" s="363"/>
      <c r="O176" s="363"/>
      <c r="P176" s="364"/>
    </row>
    <row r="177" ht="16.5" customHeight="1" spans="1:16">
      <c r="A177" s="347" t="s">
        <v>157</v>
      </c>
      <c r="B177" s="348"/>
      <c r="C177" s="348"/>
      <c r="D177" s="349"/>
      <c r="E177" s="348"/>
      <c r="F177" s="345"/>
      <c r="G177" s="346"/>
      <c r="H177" s="348">
        <f>662.408173-55</f>
        <v>607.408173</v>
      </c>
      <c r="I177" s="345"/>
      <c r="J177" s="349"/>
      <c r="K177" s="325"/>
      <c r="L177" s="325">
        <f t="shared" si="2"/>
        <v>607.408173</v>
      </c>
      <c r="M177" s="325"/>
      <c r="N177" s="363"/>
      <c r="O177" s="363"/>
      <c r="P177" s="364"/>
    </row>
    <row r="178" ht="16.5" customHeight="1" spans="1:16">
      <c r="A178" s="347" t="s">
        <v>164</v>
      </c>
      <c r="B178" s="348"/>
      <c r="C178" s="348"/>
      <c r="D178" s="349"/>
      <c r="E178" s="348"/>
      <c r="F178" s="345"/>
      <c r="G178" s="346"/>
      <c r="H178" s="348">
        <v>392.24</v>
      </c>
      <c r="I178" s="345"/>
      <c r="J178" s="349"/>
      <c r="K178" s="325"/>
      <c r="L178" s="325">
        <f t="shared" si="2"/>
        <v>392.24</v>
      </c>
      <c r="M178" s="325"/>
      <c r="N178" s="363"/>
      <c r="O178" s="363"/>
      <c r="P178" s="364"/>
    </row>
    <row r="179" ht="16.5" customHeight="1" spans="1:16">
      <c r="A179" s="347" t="s">
        <v>247</v>
      </c>
      <c r="B179" s="348"/>
      <c r="C179" s="348"/>
      <c r="D179" s="349"/>
      <c r="E179" s="348"/>
      <c r="F179" s="345"/>
      <c r="G179" s="346"/>
      <c r="H179" s="348">
        <v>104.4</v>
      </c>
      <c r="I179" s="345"/>
      <c r="J179" s="349"/>
      <c r="K179" s="325"/>
      <c r="L179" s="325">
        <f t="shared" si="2"/>
        <v>104.4</v>
      </c>
      <c r="M179" s="325"/>
      <c r="N179" s="363"/>
      <c r="O179" s="363"/>
      <c r="P179" s="364"/>
    </row>
    <row r="180" s="326" customFormat="1" ht="16.5" customHeight="1" spans="1:16">
      <c r="A180" s="347" t="s">
        <v>248</v>
      </c>
      <c r="B180" s="367">
        <v>3732</v>
      </c>
      <c r="C180" s="367">
        <v>1726</v>
      </c>
      <c r="D180" s="349">
        <f>C180/B180*100</f>
        <v>46.2486602357985</v>
      </c>
      <c r="E180" s="348">
        <v>1042</v>
      </c>
      <c r="F180" s="345">
        <f>C180-E180</f>
        <v>684</v>
      </c>
      <c r="G180" s="346">
        <f>F180/E180*100</f>
        <v>65.6429942418426</v>
      </c>
      <c r="H180" s="348">
        <f>SUM(H181:H186)</f>
        <v>3802.153249</v>
      </c>
      <c r="I180" s="348">
        <f>H180-B180</f>
        <v>70.153249</v>
      </c>
      <c r="J180" s="349">
        <f>I180/B180*100</f>
        <v>1.87977623258306</v>
      </c>
      <c r="K180" s="325"/>
      <c r="L180" s="325">
        <f t="shared" si="2"/>
        <v>10128.0779287102</v>
      </c>
      <c r="M180" s="325"/>
      <c r="N180" s="363"/>
      <c r="O180" s="363"/>
      <c r="P180" s="364"/>
    </row>
    <row r="181" ht="16.5" customHeight="1" spans="1:16">
      <c r="A181" s="347" t="s">
        <v>155</v>
      </c>
      <c r="B181" s="366"/>
      <c r="C181" s="366">
        <v>0</v>
      </c>
      <c r="D181" s="349"/>
      <c r="E181" s="366"/>
      <c r="F181" s="366"/>
      <c r="G181" s="368"/>
      <c r="H181" s="348">
        <f>231.881249+55</f>
        <v>286.881249</v>
      </c>
      <c r="I181" s="348"/>
      <c r="J181" s="349"/>
      <c r="K181" s="325"/>
      <c r="L181" s="325">
        <f t="shared" si="2"/>
        <v>286.881249</v>
      </c>
      <c r="M181" s="325"/>
      <c r="N181" s="363"/>
      <c r="O181" s="363"/>
      <c r="P181" s="364"/>
    </row>
    <row r="182" ht="16.5" customHeight="1" spans="1:16">
      <c r="A182" s="347" t="s">
        <v>156</v>
      </c>
      <c r="B182" s="366"/>
      <c r="C182" s="366">
        <v>0</v>
      </c>
      <c r="D182" s="349"/>
      <c r="E182" s="366"/>
      <c r="F182" s="366"/>
      <c r="G182" s="368"/>
      <c r="H182" s="348">
        <v>65</v>
      </c>
      <c r="I182" s="348"/>
      <c r="J182" s="349"/>
      <c r="K182" s="325"/>
      <c r="L182" s="325">
        <f t="shared" si="2"/>
        <v>65</v>
      </c>
      <c r="M182" s="325"/>
      <c r="N182" s="363"/>
      <c r="O182" s="363"/>
      <c r="P182" s="364"/>
    </row>
    <row r="183" ht="16.5" customHeight="1" spans="1:16">
      <c r="A183" s="347" t="s">
        <v>157</v>
      </c>
      <c r="B183" s="366"/>
      <c r="C183" s="366">
        <v>0</v>
      </c>
      <c r="D183" s="349"/>
      <c r="E183" s="366"/>
      <c r="F183" s="366"/>
      <c r="G183" s="368"/>
      <c r="H183" s="348">
        <v>1.272</v>
      </c>
      <c r="I183" s="348"/>
      <c r="J183" s="349"/>
      <c r="K183" s="325"/>
      <c r="L183" s="325">
        <f t="shared" si="2"/>
        <v>1.272</v>
      </c>
      <c r="M183" s="325"/>
      <c r="N183" s="363"/>
      <c r="O183" s="363"/>
      <c r="P183" s="364"/>
    </row>
    <row r="184" ht="16.5" hidden="1" customHeight="1" spans="1:16">
      <c r="A184" s="347" t="s">
        <v>249</v>
      </c>
      <c r="B184" s="366"/>
      <c r="C184" s="366">
        <v>0</v>
      </c>
      <c r="D184" s="349"/>
      <c r="E184" s="366"/>
      <c r="F184" s="366"/>
      <c r="G184" s="368"/>
      <c r="H184" s="348">
        <v>0</v>
      </c>
      <c r="I184" s="348"/>
      <c r="J184" s="349"/>
      <c r="K184" s="325"/>
      <c r="L184" s="325">
        <f t="shared" si="2"/>
        <v>0</v>
      </c>
      <c r="M184" s="325"/>
      <c r="N184" s="363"/>
      <c r="O184" s="363"/>
      <c r="P184" s="364"/>
    </row>
    <row r="185" ht="16.5" hidden="1" customHeight="1" spans="1:16">
      <c r="A185" s="347" t="s">
        <v>164</v>
      </c>
      <c r="B185" s="366"/>
      <c r="C185" s="366">
        <v>0</v>
      </c>
      <c r="D185" s="349"/>
      <c r="E185" s="366"/>
      <c r="F185" s="366"/>
      <c r="G185" s="368"/>
      <c r="H185" s="348">
        <v>0</v>
      </c>
      <c r="I185" s="348"/>
      <c r="J185" s="349"/>
      <c r="K185" s="325"/>
      <c r="L185" s="325">
        <f t="shared" si="2"/>
        <v>0</v>
      </c>
      <c r="M185" s="325"/>
      <c r="N185" s="363"/>
      <c r="O185" s="363"/>
      <c r="P185" s="364"/>
    </row>
    <row r="186" ht="16.5" customHeight="1" spans="1:16">
      <c r="A186" s="347" t="s">
        <v>250</v>
      </c>
      <c r="B186" s="366"/>
      <c r="C186" s="366"/>
      <c r="D186" s="349"/>
      <c r="E186" s="366"/>
      <c r="F186" s="366"/>
      <c r="G186" s="368"/>
      <c r="H186" s="348">
        <v>3449</v>
      </c>
      <c r="I186" s="348"/>
      <c r="J186" s="349"/>
      <c r="K186" s="325"/>
      <c r="L186" s="325">
        <f t="shared" si="2"/>
        <v>3449</v>
      </c>
      <c r="M186" s="325"/>
      <c r="N186" s="363"/>
      <c r="O186" s="363"/>
      <c r="P186" s="364"/>
    </row>
    <row r="187" s="326" customFormat="1" ht="16.5" customHeight="1" spans="1:16">
      <c r="A187" s="347" t="s">
        <v>251</v>
      </c>
      <c r="B187" s="348">
        <v>30860</v>
      </c>
      <c r="C187" s="348">
        <v>32516</v>
      </c>
      <c r="D187" s="349">
        <f>C187/B187*100</f>
        <v>105.366169799093</v>
      </c>
      <c r="E187" s="348">
        <v>28368</v>
      </c>
      <c r="F187" s="345">
        <f>C187-E187</f>
        <v>4148</v>
      </c>
      <c r="G187" s="346">
        <f>F187/E187*100</f>
        <v>14.6221094190637</v>
      </c>
      <c r="H187" s="348">
        <f>SUM(H188:H201)</f>
        <v>30517.73311</v>
      </c>
      <c r="I187" s="348">
        <f>H187-B187</f>
        <v>-342.266889999999</v>
      </c>
      <c r="J187" s="349">
        <f>I187/B187*100</f>
        <v>-1.10909556059624</v>
      </c>
      <c r="K187" s="325"/>
      <c r="L187" s="325">
        <f t="shared" si="2"/>
        <v>97818.3454036576</v>
      </c>
      <c r="M187" s="325"/>
      <c r="N187" s="363"/>
      <c r="O187" s="363"/>
      <c r="P187" s="364"/>
    </row>
    <row r="188" ht="16.5" customHeight="1" spans="1:16">
      <c r="A188" s="347" t="s">
        <v>155</v>
      </c>
      <c r="B188" s="348"/>
      <c r="C188" s="348"/>
      <c r="D188" s="349"/>
      <c r="E188" s="348"/>
      <c r="F188" s="345"/>
      <c r="G188" s="346"/>
      <c r="H188" s="348">
        <v>19993.78092</v>
      </c>
      <c r="I188" s="345"/>
      <c r="J188" s="349"/>
      <c r="K188" s="325"/>
      <c r="L188" s="325">
        <f t="shared" si="2"/>
        <v>19993.78092</v>
      </c>
      <c r="M188" s="325"/>
      <c r="N188" s="363"/>
      <c r="O188" s="363"/>
      <c r="P188" s="364"/>
    </row>
    <row r="189" ht="16.5" customHeight="1" spans="1:16">
      <c r="A189" s="347" t="s">
        <v>156</v>
      </c>
      <c r="B189" s="348"/>
      <c r="C189" s="348"/>
      <c r="D189" s="349"/>
      <c r="E189" s="348"/>
      <c r="F189" s="345"/>
      <c r="G189" s="346"/>
      <c r="H189" s="348">
        <f>525.6-270</f>
        <v>255.6</v>
      </c>
      <c r="I189" s="345"/>
      <c r="J189" s="349"/>
      <c r="K189" s="325"/>
      <c r="L189" s="325">
        <f t="shared" si="2"/>
        <v>255.6</v>
      </c>
      <c r="M189" s="325"/>
      <c r="N189" s="363"/>
      <c r="O189" s="363"/>
      <c r="P189" s="364"/>
    </row>
    <row r="190" ht="16.5" hidden="1" customHeight="1" spans="1:16">
      <c r="A190" s="347" t="s">
        <v>157</v>
      </c>
      <c r="B190" s="348"/>
      <c r="C190" s="348"/>
      <c r="D190" s="349"/>
      <c r="E190" s="348"/>
      <c r="F190" s="345"/>
      <c r="G190" s="346"/>
      <c r="H190" s="348">
        <v>0</v>
      </c>
      <c r="I190" s="345"/>
      <c r="J190" s="349"/>
      <c r="K190" s="325"/>
      <c r="L190" s="325">
        <f t="shared" si="2"/>
        <v>0</v>
      </c>
      <c r="M190" s="325"/>
      <c r="N190" s="363"/>
      <c r="O190" s="363"/>
      <c r="P190" s="364"/>
    </row>
    <row r="191" ht="16.5" hidden="1" customHeight="1" spans="1:16">
      <c r="A191" s="347" t="s">
        <v>252</v>
      </c>
      <c r="B191" s="348"/>
      <c r="C191" s="348"/>
      <c r="D191" s="349"/>
      <c r="E191" s="348"/>
      <c r="F191" s="345"/>
      <c r="G191" s="346"/>
      <c r="H191" s="348">
        <v>0</v>
      </c>
      <c r="I191" s="345"/>
      <c r="J191" s="349"/>
      <c r="K191" s="325"/>
      <c r="L191" s="325">
        <f t="shared" si="2"/>
        <v>0</v>
      </c>
      <c r="M191" s="325"/>
      <c r="N191" s="363"/>
      <c r="O191" s="363"/>
      <c r="P191" s="364"/>
    </row>
    <row r="192" ht="16.5" customHeight="1" spans="1:16">
      <c r="A192" s="347" t="s">
        <v>253</v>
      </c>
      <c r="B192" s="348"/>
      <c r="C192" s="348"/>
      <c r="D192" s="349"/>
      <c r="E192" s="348"/>
      <c r="F192" s="345"/>
      <c r="G192" s="346"/>
      <c r="H192" s="348">
        <v>270</v>
      </c>
      <c r="I192" s="345"/>
      <c r="J192" s="349"/>
      <c r="K192" s="325"/>
      <c r="L192" s="325">
        <f t="shared" si="2"/>
        <v>270</v>
      </c>
      <c r="M192" s="325"/>
      <c r="N192" s="363"/>
      <c r="O192" s="363"/>
      <c r="P192" s="364"/>
    </row>
    <row r="193" ht="16.5" hidden="1" customHeight="1" spans="1:16">
      <c r="A193" s="347" t="s">
        <v>195</v>
      </c>
      <c r="B193" s="348"/>
      <c r="C193" s="348"/>
      <c r="D193" s="349"/>
      <c r="E193" s="348"/>
      <c r="F193" s="345"/>
      <c r="G193" s="346"/>
      <c r="H193" s="348">
        <v>0</v>
      </c>
      <c r="I193" s="345"/>
      <c r="J193" s="349"/>
      <c r="K193" s="325"/>
      <c r="L193" s="325">
        <f t="shared" si="2"/>
        <v>0</v>
      </c>
      <c r="M193" s="325"/>
      <c r="N193" s="363"/>
      <c r="O193" s="363"/>
      <c r="P193" s="364"/>
    </row>
    <row r="194" ht="16.5" hidden="1" customHeight="1" spans="1:16">
      <c r="A194" s="347" t="s">
        <v>254</v>
      </c>
      <c r="B194" s="348"/>
      <c r="C194" s="348"/>
      <c r="D194" s="349"/>
      <c r="E194" s="348"/>
      <c r="F194" s="345"/>
      <c r="G194" s="346"/>
      <c r="H194" s="348">
        <v>0</v>
      </c>
      <c r="I194" s="345"/>
      <c r="J194" s="349"/>
      <c r="K194" s="325"/>
      <c r="L194" s="325">
        <f t="shared" si="2"/>
        <v>0</v>
      </c>
      <c r="M194" s="325"/>
      <c r="N194" s="363"/>
      <c r="O194" s="363"/>
      <c r="P194" s="364"/>
    </row>
    <row r="195" ht="16.5" customHeight="1" spans="1:16">
      <c r="A195" s="347" t="s">
        <v>255</v>
      </c>
      <c r="B195" s="348"/>
      <c r="C195" s="348"/>
      <c r="D195" s="349"/>
      <c r="E195" s="348"/>
      <c r="F195" s="345"/>
      <c r="G195" s="346"/>
      <c r="H195" s="348">
        <f>338.080068-50</f>
        <v>288.080068</v>
      </c>
      <c r="I195" s="345"/>
      <c r="J195" s="349"/>
      <c r="K195" s="325"/>
      <c r="L195" s="325">
        <f t="shared" si="2"/>
        <v>288.080068</v>
      </c>
      <c r="M195" s="325"/>
      <c r="N195" s="363"/>
      <c r="O195" s="363"/>
      <c r="P195" s="364"/>
    </row>
    <row r="196" ht="16.5" customHeight="1" spans="1:16">
      <c r="A196" s="347" t="s">
        <v>256</v>
      </c>
      <c r="B196" s="348"/>
      <c r="C196" s="348"/>
      <c r="D196" s="349"/>
      <c r="E196" s="348"/>
      <c r="F196" s="345"/>
      <c r="G196" s="346"/>
      <c r="H196" s="348">
        <v>4</v>
      </c>
      <c r="I196" s="345"/>
      <c r="J196" s="349"/>
      <c r="K196" s="325"/>
      <c r="L196" s="325">
        <f t="shared" si="2"/>
        <v>4</v>
      </c>
      <c r="M196" s="325"/>
      <c r="N196" s="363"/>
      <c r="O196" s="363"/>
      <c r="P196" s="364"/>
    </row>
    <row r="197" ht="16.5" customHeight="1" spans="1:16">
      <c r="A197" s="347" t="s">
        <v>257</v>
      </c>
      <c r="B197" s="348"/>
      <c r="C197" s="348"/>
      <c r="D197" s="349"/>
      <c r="E197" s="348"/>
      <c r="F197" s="345"/>
      <c r="G197" s="346"/>
      <c r="H197" s="348">
        <f>46</f>
        <v>46</v>
      </c>
      <c r="I197" s="345"/>
      <c r="J197" s="349"/>
      <c r="K197" s="325"/>
      <c r="L197" s="325">
        <f t="shared" si="2"/>
        <v>46</v>
      </c>
      <c r="M197" s="325"/>
      <c r="N197" s="363"/>
      <c r="O197" s="363"/>
      <c r="P197" s="364"/>
    </row>
    <row r="198" ht="16.5" customHeight="1" spans="1:16">
      <c r="A198" s="347" t="s">
        <v>258</v>
      </c>
      <c r="B198" s="348"/>
      <c r="C198" s="348"/>
      <c r="D198" s="349"/>
      <c r="E198" s="348"/>
      <c r="F198" s="345"/>
      <c r="G198" s="346"/>
      <c r="H198" s="348">
        <v>120</v>
      </c>
      <c r="I198" s="345"/>
      <c r="J198" s="349"/>
      <c r="K198" s="325"/>
      <c r="L198" s="325">
        <f t="shared" si="2"/>
        <v>120</v>
      </c>
      <c r="M198" s="325"/>
      <c r="N198" s="363"/>
      <c r="O198" s="363"/>
      <c r="P198" s="364"/>
    </row>
    <row r="199" ht="16.5" customHeight="1" spans="1:16">
      <c r="A199" s="347" t="s">
        <v>259</v>
      </c>
      <c r="B199" s="348"/>
      <c r="C199" s="348"/>
      <c r="D199" s="349"/>
      <c r="E199" s="348"/>
      <c r="F199" s="345"/>
      <c r="G199" s="346"/>
      <c r="H199" s="348">
        <v>1025</v>
      </c>
      <c r="I199" s="345"/>
      <c r="J199" s="349"/>
      <c r="K199" s="325"/>
      <c r="L199" s="325">
        <f t="shared" si="2"/>
        <v>1025</v>
      </c>
      <c r="M199" s="325"/>
      <c r="N199" s="363"/>
      <c r="O199" s="363"/>
      <c r="P199" s="364"/>
    </row>
    <row r="200" ht="16.5" customHeight="1" spans="1:16">
      <c r="A200" s="347" t="s">
        <v>164</v>
      </c>
      <c r="B200" s="348"/>
      <c r="C200" s="348"/>
      <c r="D200" s="349"/>
      <c r="E200" s="348"/>
      <c r="F200" s="345"/>
      <c r="G200" s="346"/>
      <c r="H200" s="348">
        <v>3252.672122</v>
      </c>
      <c r="I200" s="345"/>
      <c r="J200" s="349"/>
      <c r="K200" s="325"/>
      <c r="L200" s="325">
        <f t="shared" ref="L200:L263" si="3">B200+C200+D200+F200+G200+H200+I200+J200</f>
        <v>3252.672122</v>
      </c>
      <c r="M200" s="325"/>
      <c r="N200" s="363"/>
      <c r="O200" s="363"/>
      <c r="P200" s="364"/>
    </row>
    <row r="201" ht="16.5" customHeight="1" spans="1:16">
      <c r="A201" s="347" t="s">
        <v>260</v>
      </c>
      <c r="B201" s="348"/>
      <c r="C201" s="348"/>
      <c r="D201" s="349"/>
      <c r="E201" s="348"/>
      <c r="F201" s="345"/>
      <c r="G201" s="346"/>
      <c r="H201" s="348">
        <f>262.6+3000+2000</f>
        <v>5262.6</v>
      </c>
      <c r="I201" s="345"/>
      <c r="J201" s="349"/>
      <c r="K201" s="325"/>
      <c r="L201" s="325">
        <f t="shared" si="3"/>
        <v>5262.6</v>
      </c>
      <c r="M201" s="325"/>
      <c r="N201" s="363"/>
      <c r="O201" s="363"/>
      <c r="P201" s="364"/>
    </row>
    <row r="202" s="327" customFormat="1" ht="16.5" customHeight="1" spans="1:16">
      <c r="A202" s="347" t="s">
        <v>261</v>
      </c>
      <c r="B202" s="348">
        <v>4016</v>
      </c>
      <c r="C202" s="348">
        <v>2911</v>
      </c>
      <c r="D202" s="349">
        <f>C202/B202*100</f>
        <v>72.4850597609562</v>
      </c>
      <c r="E202" s="348">
        <v>172</v>
      </c>
      <c r="F202" s="345">
        <f>C202-E202</f>
        <v>2739</v>
      </c>
      <c r="G202" s="346">
        <f>F202/E202*100</f>
        <v>1592.44186046512</v>
      </c>
      <c r="H202" s="348">
        <f>SUM(H203:H208)</f>
        <v>3956.330274</v>
      </c>
      <c r="I202" s="348">
        <f>H202-B202</f>
        <v>-59.6697260000001</v>
      </c>
      <c r="J202" s="349">
        <f>I202/B202*100</f>
        <v>-1.48579995019921</v>
      </c>
      <c r="K202" s="325"/>
      <c r="L202" s="325">
        <f t="shared" si="3"/>
        <v>15226.1016682759</v>
      </c>
      <c r="M202" s="325"/>
      <c r="N202" s="363"/>
      <c r="O202" s="363"/>
      <c r="P202" s="364"/>
    </row>
    <row r="203" s="327" customFormat="1" ht="16.5" customHeight="1" spans="1:16">
      <c r="A203" s="347" t="s">
        <v>155</v>
      </c>
      <c r="B203" s="348"/>
      <c r="C203" s="348"/>
      <c r="D203" s="349"/>
      <c r="E203" s="348"/>
      <c r="F203" s="345"/>
      <c r="G203" s="346"/>
      <c r="H203" s="348">
        <v>1711.263274</v>
      </c>
      <c r="I203" s="345"/>
      <c r="J203" s="349"/>
      <c r="K203" s="325"/>
      <c r="L203" s="325">
        <f t="shared" si="3"/>
        <v>1711.263274</v>
      </c>
      <c r="M203" s="325"/>
      <c r="N203" s="363"/>
      <c r="O203" s="363"/>
      <c r="P203" s="364"/>
    </row>
    <row r="204" s="327" customFormat="1" ht="16.5" customHeight="1" spans="1:16">
      <c r="A204" s="347" t="s">
        <v>156</v>
      </c>
      <c r="B204" s="348"/>
      <c r="C204" s="348"/>
      <c r="D204" s="349"/>
      <c r="E204" s="348"/>
      <c r="F204" s="345"/>
      <c r="G204" s="346"/>
      <c r="H204" s="348">
        <v>176.3</v>
      </c>
      <c r="I204" s="345"/>
      <c r="J204" s="349"/>
      <c r="K204" s="325"/>
      <c r="L204" s="325">
        <f t="shared" si="3"/>
        <v>176.3</v>
      </c>
      <c r="M204" s="325"/>
      <c r="N204" s="363"/>
      <c r="O204" s="363"/>
      <c r="P204" s="364"/>
    </row>
    <row r="205" s="327" customFormat="1" ht="16.5" hidden="1" customHeight="1" spans="1:16">
      <c r="A205" s="347" t="s">
        <v>157</v>
      </c>
      <c r="B205" s="348"/>
      <c r="C205" s="348"/>
      <c r="D205" s="349"/>
      <c r="E205" s="348"/>
      <c r="F205" s="345"/>
      <c r="G205" s="346"/>
      <c r="H205" s="348">
        <v>0</v>
      </c>
      <c r="I205" s="345"/>
      <c r="J205" s="349"/>
      <c r="K205" s="325"/>
      <c r="L205" s="325">
        <f t="shared" si="3"/>
        <v>0</v>
      </c>
      <c r="M205" s="325"/>
      <c r="N205" s="363"/>
      <c r="O205" s="363"/>
      <c r="P205" s="364"/>
    </row>
    <row r="206" s="327" customFormat="1" ht="16.5" customHeight="1" spans="1:16">
      <c r="A206" s="347" t="s">
        <v>232</v>
      </c>
      <c r="B206" s="348"/>
      <c r="C206" s="348"/>
      <c r="D206" s="349"/>
      <c r="E206" s="348"/>
      <c r="F206" s="345"/>
      <c r="G206" s="346"/>
      <c r="H206" s="348">
        <v>1366.767</v>
      </c>
      <c r="I206" s="345"/>
      <c r="J206" s="349"/>
      <c r="K206" s="325"/>
      <c r="L206" s="325">
        <f t="shared" si="3"/>
        <v>1366.767</v>
      </c>
      <c r="M206" s="325"/>
      <c r="N206" s="363"/>
      <c r="O206" s="363"/>
      <c r="P206" s="364"/>
    </row>
    <row r="207" s="327" customFormat="1" ht="16.5" customHeight="1" spans="1:16">
      <c r="A207" s="347" t="s">
        <v>164</v>
      </c>
      <c r="B207" s="348"/>
      <c r="C207" s="348"/>
      <c r="D207" s="349"/>
      <c r="E207" s="348"/>
      <c r="F207" s="345"/>
      <c r="G207" s="346"/>
      <c r="H207" s="348">
        <v>644</v>
      </c>
      <c r="I207" s="345"/>
      <c r="J207" s="349"/>
      <c r="K207" s="325"/>
      <c r="L207" s="325">
        <f t="shared" si="3"/>
        <v>644</v>
      </c>
      <c r="M207" s="325"/>
      <c r="N207" s="363"/>
      <c r="O207" s="363"/>
      <c r="P207" s="364"/>
    </row>
    <row r="208" s="327" customFormat="1" ht="16.5" customHeight="1" spans="1:16">
      <c r="A208" s="347" t="s">
        <v>262</v>
      </c>
      <c r="B208" s="348"/>
      <c r="C208" s="348"/>
      <c r="D208" s="349"/>
      <c r="E208" s="348"/>
      <c r="F208" s="345"/>
      <c r="G208" s="346"/>
      <c r="H208" s="348">
        <v>58</v>
      </c>
      <c r="I208" s="345"/>
      <c r="J208" s="349"/>
      <c r="K208" s="325"/>
      <c r="L208" s="325">
        <f t="shared" si="3"/>
        <v>58</v>
      </c>
      <c r="M208" s="325"/>
      <c r="N208" s="363"/>
      <c r="O208" s="363"/>
      <c r="P208" s="364"/>
    </row>
    <row r="209" s="327" customFormat="1" ht="16.5" customHeight="1" spans="1:16">
      <c r="A209" s="347" t="s">
        <v>263</v>
      </c>
      <c r="B209" s="348">
        <v>1218</v>
      </c>
      <c r="C209" s="348">
        <v>1761</v>
      </c>
      <c r="D209" s="349">
        <f>C209/B209*100</f>
        <v>144.581280788177</v>
      </c>
      <c r="E209" s="348">
        <v>1154</v>
      </c>
      <c r="F209" s="345">
        <f>C209-E209</f>
        <v>607</v>
      </c>
      <c r="G209" s="346">
        <f>F209/E209*100</f>
        <v>52.5996533795494</v>
      </c>
      <c r="H209" s="348">
        <f>SUM(H210:H215)</f>
        <v>1102.077816</v>
      </c>
      <c r="I209" s="345">
        <f>H209-B209</f>
        <v>-115.922184</v>
      </c>
      <c r="J209" s="349">
        <f>I209/B209*100</f>
        <v>-9.51742068965517</v>
      </c>
      <c r="K209" s="325"/>
      <c r="L209" s="325">
        <f t="shared" si="3"/>
        <v>4759.81914547807</v>
      </c>
      <c r="M209" s="325"/>
      <c r="N209" s="363"/>
      <c r="O209" s="363"/>
      <c r="P209" s="364"/>
    </row>
    <row r="210" s="327" customFormat="1" ht="16.5" customHeight="1" spans="1:16">
      <c r="A210" s="347" t="s">
        <v>155</v>
      </c>
      <c r="B210" s="348"/>
      <c r="C210" s="348"/>
      <c r="D210" s="349"/>
      <c r="E210" s="348"/>
      <c r="F210" s="345"/>
      <c r="G210" s="346"/>
      <c r="H210" s="348">
        <v>542.877816</v>
      </c>
      <c r="I210" s="345"/>
      <c r="J210" s="349"/>
      <c r="K210" s="325"/>
      <c r="L210" s="325">
        <f t="shared" si="3"/>
        <v>542.877816</v>
      </c>
      <c r="M210" s="325"/>
      <c r="N210" s="363"/>
      <c r="O210" s="363"/>
      <c r="P210" s="364"/>
    </row>
    <row r="211" s="327" customFormat="1" ht="16.5" customHeight="1" spans="1:16">
      <c r="A211" s="347" t="s">
        <v>156</v>
      </c>
      <c r="B211" s="348"/>
      <c r="C211" s="348"/>
      <c r="D211" s="349"/>
      <c r="E211" s="348"/>
      <c r="F211" s="345"/>
      <c r="G211" s="346"/>
      <c r="H211" s="348">
        <v>33</v>
      </c>
      <c r="I211" s="345"/>
      <c r="J211" s="349"/>
      <c r="K211" s="325"/>
      <c r="L211" s="325">
        <f t="shared" si="3"/>
        <v>33</v>
      </c>
      <c r="M211" s="325"/>
      <c r="N211" s="363"/>
      <c r="O211" s="363"/>
      <c r="P211" s="364"/>
    </row>
    <row r="212" s="327" customFormat="1" ht="16.5" hidden="1" customHeight="1" spans="1:16">
      <c r="A212" s="347" t="s">
        <v>157</v>
      </c>
      <c r="B212" s="348"/>
      <c r="C212" s="348"/>
      <c r="D212" s="349"/>
      <c r="E212" s="348"/>
      <c r="F212" s="345"/>
      <c r="G212" s="346"/>
      <c r="H212" s="348">
        <v>0</v>
      </c>
      <c r="I212" s="345"/>
      <c r="J212" s="349"/>
      <c r="K212" s="325"/>
      <c r="L212" s="325">
        <f t="shared" si="3"/>
        <v>0</v>
      </c>
      <c r="M212" s="325"/>
      <c r="N212" s="363"/>
      <c r="O212" s="363"/>
      <c r="P212" s="364"/>
    </row>
    <row r="213" s="327" customFormat="1" ht="16.5" customHeight="1" spans="1:16">
      <c r="A213" s="369" t="s">
        <v>264</v>
      </c>
      <c r="B213" s="348"/>
      <c r="C213" s="348"/>
      <c r="D213" s="349"/>
      <c r="E213" s="348"/>
      <c r="F213" s="345"/>
      <c r="G213" s="346"/>
      <c r="H213" s="348">
        <v>310.2</v>
      </c>
      <c r="I213" s="345"/>
      <c r="J213" s="349"/>
      <c r="K213" s="325"/>
      <c r="L213" s="325">
        <f t="shared" si="3"/>
        <v>310.2</v>
      </c>
      <c r="M213" s="325"/>
      <c r="N213" s="363"/>
      <c r="O213" s="363"/>
      <c r="P213" s="364"/>
    </row>
    <row r="214" s="327" customFormat="1" ht="16.5" customHeight="1" spans="1:16">
      <c r="A214" s="369" t="s">
        <v>164</v>
      </c>
      <c r="B214" s="348"/>
      <c r="C214" s="348"/>
      <c r="D214" s="349"/>
      <c r="E214" s="348"/>
      <c r="F214" s="345"/>
      <c r="G214" s="346"/>
      <c r="H214" s="348">
        <v>176</v>
      </c>
      <c r="I214" s="345"/>
      <c r="J214" s="349"/>
      <c r="K214" s="325"/>
      <c r="L214" s="325">
        <f t="shared" si="3"/>
        <v>176</v>
      </c>
      <c r="M214" s="325"/>
      <c r="N214" s="363"/>
      <c r="O214" s="363"/>
      <c r="P214" s="364"/>
    </row>
    <row r="215" s="327" customFormat="1" ht="16.5" customHeight="1" spans="1:16">
      <c r="A215" s="369" t="s">
        <v>265</v>
      </c>
      <c r="B215" s="370"/>
      <c r="C215" s="348"/>
      <c r="D215" s="349"/>
      <c r="E215" s="370"/>
      <c r="F215" s="345"/>
      <c r="G215" s="346"/>
      <c r="H215" s="348">
        <v>40</v>
      </c>
      <c r="I215" s="345"/>
      <c r="J215" s="349"/>
      <c r="K215" s="325"/>
      <c r="L215" s="325">
        <f t="shared" si="3"/>
        <v>40</v>
      </c>
      <c r="M215" s="325"/>
      <c r="N215" s="363"/>
      <c r="O215" s="363"/>
      <c r="P215" s="364"/>
    </row>
    <row r="216" s="327" customFormat="1" ht="16.5" customHeight="1" spans="1:16">
      <c r="A216" s="369" t="s">
        <v>266</v>
      </c>
      <c r="B216" s="396">
        <v>1309</v>
      </c>
      <c r="C216" s="348">
        <v>1086</v>
      </c>
      <c r="D216" s="349">
        <f>C216/B216*100</f>
        <v>82.9640947288006</v>
      </c>
      <c r="E216" s="370"/>
      <c r="F216" s="345"/>
      <c r="G216" s="346"/>
      <c r="H216" s="348">
        <f>SUM(H217:H221)</f>
        <v>1450</v>
      </c>
      <c r="I216" s="345">
        <f>H216-B216</f>
        <v>141</v>
      </c>
      <c r="J216" s="349">
        <f>I216/B216*100</f>
        <v>10.7715813598167</v>
      </c>
      <c r="K216" s="325"/>
      <c r="L216" s="325">
        <f t="shared" si="3"/>
        <v>4079.73567608862</v>
      </c>
      <c r="M216" s="325"/>
      <c r="N216" s="363"/>
      <c r="O216" s="363"/>
      <c r="P216" s="364"/>
    </row>
    <row r="217" s="327" customFormat="1" ht="16.5" customHeight="1" spans="1:16">
      <c r="A217" s="369" t="s">
        <v>155</v>
      </c>
      <c r="B217" s="370"/>
      <c r="C217" s="348"/>
      <c r="D217" s="349"/>
      <c r="E217" s="370"/>
      <c r="F217" s="345"/>
      <c r="G217" s="346"/>
      <c r="H217" s="348">
        <v>1025</v>
      </c>
      <c r="I217" s="345"/>
      <c r="J217" s="349"/>
      <c r="K217" s="325"/>
      <c r="L217" s="325">
        <f t="shared" si="3"/>
        <v>1025</v>
      </c>
      <c r="M217" s="325"/>
      <c r="N217" s="363"/>
      <c r="O217" s="363"/>
      <c r="P217" s="364"/>
    </row>
    <row r="218" s="327" customFormat="1" ht="16.5" customHeight="1" spans="1:16">
      <c r="A218" s="369" t="s">
        <v>156</v>
      </c>
      <c r="B218" s="370"/>
      <c r="C218" s="348"/>
      <c r="D218" s="349"/>
      <c r="E218" s="370"/>
      <c r="F218" s="345"/>
      <c r="G218" s="346"/>
      <c r="H218" s="348">
        <v>313</v>
      </c>
      <c r="I218" s="345"/>
      <c r="J218" s="349"/>
      <c r="K218" s="325"/>
      <c r="L218" s="325">
        <f t="shared" si="3"/>
        <v>313</v>
      </c>
      <c r="M218" s="325"/>
      <c r="N218" s="363"/>
      <c r="O218" s="363"/>
      <c r="P218" s="364"/>
    </row>
    <row r="219" s="327" customFormat="1" ht="16.5" hidden="1" customHeight="1" spans="1:16">
      <c r="A219" s="369" t="s">
        <v>157</v>
      </c>
      <c r="B219" s="370"/>
      <c r="C219" s="348"/>
      <c r="D219" s="349"/>
      <c r="E219" s="370"/>
      <c r="F219" s="345"/>
      <c r="G219" s="346"/>
      <c r="H219" s="348">
        <v>0</v>
      </c>
      <c r="I219" s="345"/>
      <c r="J219" s="349"/>
      <c r="K219" s="325"/>
      <c r="L219" s="325">
        <f t="shared" si="3"/>
        <v>0</v>
      </c>
      <c r="M219" s="325"/>
      <c r="N219" s="363"/>
      <c r="O219" s="363"/>
      <c r="P219" s="364"/>
    </row>
    <row r="220" s="327" customFormat="1" ht="16.5" customHeight="1" spans="1:16">
      <c r="A220" s="369" t="s">
        <v>164</v>
      </c>
      <c r="B220" s="370"/>
      <c r="C220" s="348"/>
      <c r="D220" s="349"/>
      <c r="E220" s="370"/>
      <c r="F220" s="345"/>
      <c r="G220" s="346"/>
      <c r="H220" s="348">
        <v>52</v>
      </c>
      <c r="I220" s="345"/>
      <c r="J220" s="349"/>
      <c r="K220" s="325"/>
      <c r="L220" s="325">
        <f t="shared" si="3"/>
        <v>52</v>
      </c>
      <c r="M220" s="325"/>
      <c r="N220" s="363"/>
      <c r="O220" s="363"/>
      <c r="P220" s="364"/>
    </row>
    <row r="221" s="327" customFormat="1" ht="16.5" customHeight="1" spans="1:16">
      <c r="A221" s="369" t="s">
        <v>267</v>
      </c>
      <c r="B221" s="370"/>
      <c r="C221" s="348"/>
      <c r="D221" s="349"/>
      <c r="E221" s="370"/>
      <c r="F221" s="345"/>
      <c r="G221" s="346"/>
      <c r="H221" s="348">
        <v>60</v>
      </c>
      <c r="I221" s="345"/>
      <c r="J221" s="349"/>
      <c r="K221" s="325"/>
      <c r="L221" s="325">
        <f t="shared" si="3"/>
        <v>60</v>
      </c>
      <c r="M221" s="325"/>
      <c r="N221" s="363"/>
      <c r="O221" s="363"/>
      <c r="P221" s="364"/>
    </row>
    <row r="222" s="326" customFormat="1" ht="16.5" customHeight="1" spans="1:16">
      <c r="A222" s="369" t="s">
        <v>268</v>
      </c>
      <c r="B222" s="348">
        <v>119481</v>
      </c>
      <c r="C222" s="348">
        <v>26472</v>
      </c>
      <c r="D222" s="349">
        <f>C222/B222*100</f>
        <v>22.1558239385342</v>
      </c>
      <c r="E222" s="348">
        <v>34936</v>
      </c>
      <c r="F222" s="345">
        <f>C222-E222</f>
        <v>-8464</v>
      </c>
      <c r="G222" s="346">
        <f>F222/E222*100</f>
        <v>-24.227158232196</v>
      </c>
      <c r="H222" s="348">
        <f>H223</f>
        <v>119483.0772</v>
      </c>
      <c r="I222" s="345">
        <f>H222-B222</f>
        <v>2.07719999999972</v>
      </c>
      <c r="J222" s="349">
        <f>I222/B222*100</f>
        <v>0.00173851909508601</v>
      </c>
      <c r="K222" s="325"/>
      <c r="L222" s="325">
        <f t="shared" si="3"/>
        <v>256972.084804225</v>
      </c>
      <c r="M222" s="325"/>
      <c r="N222" s="363"/>
      <c r="O222" s="363"/>
      <c r="P222" s="364"/>
    </row>
    <row r="223" ht="16.5" customHeight="1" spans="1:16">
      <c r="A223" s="365" t="s">
        <v>269</v>
      </c>
      <c r="B223" s="348"/>
      <c r="C223" s="348"/>
      <c r="D223" s="349"/>
      <c r="E223" s="348"/>
      <c r="F223" s="345"/>
      <c r="G223" s="346"/>
      <c r="H223" s="348">
        <f>115483.0772+4000</f>
        <v>119483.0772</v>
      </c>
      <c r="I223" s="345"/>
      <c r="J223" s="349"/>
      <c r="K223" s="325"/>
      <c r="L223" s="325">
        <f t="shared" si="3"/>
        <v>119483.0772</v>
      </c>
      <c r="M223" s="325"/>
      <c r="N223" s="363"/>
      <c r="O223" s="363"/>
      <c r="P223" s="364"/>
    </row>
    <row r="224" s="325" customFormat="1" ht="16.5" customHeight="1" spans="1:16">
      <c r="A224" s="344" t="s">
        <v>270</v>
      </c>
      <c r="B224" s="345">
        <f>B225+B229+B230+B231+B239</f>
        <v>2653</v>
      </c>
      <c r="C224" s="345">
        <f>C225+C229+C230+C231+C239</f>
        <v>4435</v>
      </c>
      <c r="D224" s="349">
        <f>C224/B224*100</f>
        <v>167.169242367132</v>
      </c>
      <c r="E224" s="345">
        <f>E225+E229+E230+E231+E239</f>
        <v>3586</v>
      </c>
      <c r="F224" s="345">
        <f>C224-E224</f>
        <v>849</v>
      </c>
      <c r="G224" s="346">
        <f>F224/E224*100</f>
        <v>23.675404350251</v>
      </c>
      <c r="H224" s="345">
        <f>H225+H229+H230+H231+H239</f>
        <v>2080.3808</v>
      </c>
      <c r="I224" s="345">
        <f>H224-B224</f>
        <v>-572.6192</v>
      </c>
      <c r="J224" s="349">
        <f>I224/B224*100</f>
        <v>-21.5838371654731</v>
      </c>
      <c r="L224" s="325">
        <f t="shared" si="3"/>
        <v>9614.02240955191</v>
      </c>
      <c r="N224" s="362"/>
      <c r="O224" s="362"/>
      <c r="P224" s="364"/>
    </row>
    <row r="225" s="325" customFormat="1" ht="18" hidden="1" customHeight="1" spans="1:16">
      <c r="A225" s="347" t="s">
        <v>271</v>
      </c>
      <c r="B225" s="348"/>
      <c r="C225" s="345">
        <v>0</v>
      </c>
      <c r="D225" s="349"/>
      <c r="E225" s="345"/>
      <c r="F225" s="345">
        <f>C225-E225</f>
        <v>0</v>
      </c>
      <c r="G225" s="346"/>
      <c r="H225" s="345"/>
      <c r="I225" s="345">
        <f>H225-B225</f>
        <v>0</v>
      </c>
      <c r="J225" s="349"/>
      <c r="L225" s="325">
        <f t="shared" si="3"/>
        <v>0</v>
      </c>
      <c r="N225" s="362"/>
      <c r="O225" s="362"/>
      <c r="P225" s="364"/>
    </row>
    <row r="226" s="325" customFormat="1" ht="16.5" hidden="1" customHeight="1" spans="1:16">
      <c r="A226" s="347" t="s">
        <v>272</v>
      </c>
      <c r="B226" s="348"/>
      <c r="C226" s="345">
        <v>0</v>
      </c>
      <c r="D226" s="349"/>
      <c r="E226" s="345"/>
      <c r="F226" s="345"/>
      <c r="G226" s="346"/>
      <c r="H226" s="345"/>
      <c r="I226" s="345"/>
      <c r="J226" s="349"/>
      <c r="L226" s="325">
        <f t="shared" si="3"/>
        <v>0</v>
      </c>
      <c r="N226" s="362"/>
      <c r="O226" s="362"/>
      <c r="P226" s="364"/>
    </row>
    <row r="227" s="325" customFormat="1" ht="16.5" hidden="1" customHeight="1" spans="1:16">
      <c r="A227" s="347" t="s">
        <v>273</v>
      </c>
      <c r="B227" s="348"/>
      <c r="C227" s="345">
        <v>0</v>
      </c>
      <c r="D227" s="349"/>
      <c r="E227" s="345"/>
      <c r="F227" s="345"/>
      <c r="G227" s="346"/>
      <c r="H227" s="345"/>
      <c r="I227" s="345"/>
      <c r="J227" s="349"/>
      <c r="L227" s="325">
        <f t="shared" si="3"/>
        <v>0</v>
      </c>
      <c r="N227" s="362"/>
      <c r="O227" s="362"/>
      <c r="P227" s="364"/>
    </row>
    <row r="228" s="325" customFormat="1" ht="16.5" hidden="1" customHeight="1" spans="1:16">
      <c r="A228" s="347" t="s">
        <v>274</v>
      </c>
      <c r="B228" s="348"/>
      <c r="C228" s="345">
        <v>0</v>
      </c>
      <c r="D228" s="349"/>
      <c r="E228" s="345"/>
      <c r="F228" s="345"/>
      <c r="G228" s="346"/>
      <c r="H228" s="345"/>
      <c r="I228" s="345"/>
      <c r="J228" s="349"/>
      <c r="L228" s="325">
        <f t="shared" si="3"/>
        <v>0</v>
      </c>
      <c r="N228" s="362"/>
      <c r="O228" s="362"/>
      <c r="P228" s="364"/>
    </row>
    <row r="229" s="325" customFormat="1" ht="18" hidden="1" customHeight="1" spans="1:16">
      <c r="A229" s="347" t="s">
        <v>275</v>
      </c>
      <c r="B229" s="348"/>
      <c r="C229" s="345">
        <v>0</v>
      </c>
      <c r="D229" s="349"/>
      <c r="E229" s="345"/>
      <c r="F229" s="345">
        <f>C229-E229</f>
        <v>0</v>
      </c>
      <c r="G229" s="346"/>
      <c r="H229" s="345"/>
      <c r="I229" s="345">
        <f t="shared" ref="I229:I231" si="4">H229-B229</f>
        <v>0</v>
      </c>
      <c r="J229" s="349"/>
      <c r="L229" s="325">
        <f t="shared" si="3"/>
        <v>0</v>
      </c>
      <c r="N229" s="362"/>
      <c r="O229" s="362"/>
      <c r="P229" s="364"/>
    </row>
    <row r="230" s="325" customFormat="1" ht="16.5" hidden="1" customHeight="1" spans="1:16">
      <c r="A230" s="347" t="s">
        <v>276</v>
      </c>
      <c r="B230" s="348"/>
      <c r="C230" s="345">
        <v>0</v>
      </c>
      <c r="D230" s="349"/>
      <c r="E230" s="345"/>
      <c r="F230" s="345">
        <f>C230-E230</f>
        <v>0</v>
      </c>
      <c r="G230" s="346"/>
      <c r="H230" s="345"/>
      <c r="I230" s="345">
        <f t="shared" si="4"/>
        <v>0</v>
      </c>
      <c r="J230" s="349"/>
      <c r="L230" s="325">
        <f t="shared" si="3"/>
        <v>0</v>
      </c>
      <c r="N230" s="362"/>
      <c r="O230" s="362"/>
      <c r="P230" s="364"/>
    </row>
    <row r="231" s="326" customFormat="1" ht="16.5" customHeight="1" spans="1:16">
      <c r="A231" s="347" t="s">
        <v>277</v>
      </c>
      <c r="B231" s="348">
        <v>1905</v>
      </c>
      <c r="C231" s="348">
        <v>3327</v>
      </c>
      <c r="D231" s="349">
        <f>C231/B231*100</f>
        <v>174.645669291339</v>
      </c>
      <c r="E231" s="348">
        <v>1916</v>
      </c>
      <c r="F231" s="345">
        <f>C231-E231</f>
        <v>1411</v>
      </c>
      <c r="G231" s="346">
        <f>F231/E231*100</f>
        <v>73.643006263048</v>
      </c>
      <c r="H231" s="348">
        <f>SUM(H232:H238)</f>
        <v>1344.41</v>
      </c>
      <c r="I231" s="345">
        <f t="shared" si="4"/>
        <v>-560.59</v>
      </c>
      <c r="J231" s="349">
        <f>I231/B231*100</f>
        <v>-29.4272965879265</v>
      </c>
      <c r="K231" s="325"/>
      <c r="L231" s="325">
        <f t="shared" si="3"/>
        <v>7645.68137896646</v>
      </c>
      <c r="M231" s="325"/>
      <c r="N231" s="363"/>
      <c r="O231" s="363"/>
      <c r="P231" s="364"/>
    </row>
    <row r="232" ht="16.5" customHeight="1" spans="1:16">
      <c r="A232" s="347" t="s">
        <v>278</v>
      </c>
      <c r="B232" s="348"/>
      <c r="C232" s="348"/>
      <c r="D232" s="349"/>
      <c r="E232" s="348"/>
      <c r="F232" s="345"/>
      <c r="G232" s="346"/>
      <c r="H232" s="348">
        <v>165</v>
      </c>
      <c r="I232" s="345"/>
      <c r="J232" s="349"/>
      <c r="K232" s="325"/>
      <c r="L232" s="325">
        <f t="shared" si="3"/>
        <v>165</v>
      </c>
      <c r="M232" s="325"/>
      <c r="N232" s="363"/>
      <c r="O232" s="363"/>
      <c r="P232" s="364"/>
    </row>
    <row r="233" ht="16.5" hidden="1" customHeight="1" spans="1:16">
      <c r="A233" s="347" t="s">
        <v>279</v>
      </c>
      <c r="B233" s="348"/>
      <c r="C233" s="348"/>
      <c r="D233" s="349"/>
      <c r="E233" s="348"/>
      <c r="F233" s="345"/>
      <c r="G233" s="346"/>
      <c r="H233" s="348">
        <v>0</v>
      </c>
      <c r="I233" s="345"/>
      <c r="J233" s="349"/>
      <c r="K233" s="325"/>
      <c r="L233" s="325">
        <f t="shared" si="3"/>
        <v>0</v>
      </c>
      <c r="M233" s="325"/>
      <c r="N233" s="363"/>
      <c r="O233" s="363"/>
      <c r="P233" s="364"/>
    </row>
    <row r="234" ht="16.5" customHeight="1" spans="1:16">
      <c r="A234" s="347" t="s">
        <v>280</v>
      </c>
      <c r="B234" s="348"/>
      <c r="C234" s="348"/>
      <c r="D234" s="349"/>
      <c r="E234" s="348"/>
      <c r="F234" s="345"/>
      <c r="G234" s="346"/>
      <c r="H234" s="348">
        <v>207.41</v>
      </c>
      <c r="I234" s="345"/>
      <c r="J234" s="349"/>
      <c r="K234" s="325"/>
      <c r="L234" s="325">
        <f t="shared" si="3"/>
        <v>207.41</v>
      </c>
      <c r="M234" s="325"/>
      <c r="N234" s="363"/>
      <c r="O234" s="363"/>
      <c r="P234" s="364"/>
    </row>
    <row r="235" ht="16.5" customHeight="1" spans="1:16">
      <c r="A235" s="347" t="s">
        <v>281</v>
      </c>
      <c r="B235" s="348"/>
      <c r="C235" s="348"/>
      <c r="D235" s="349"/>
      <c r="E235" s="348"/>
      <c r="F235" s="345"/>
      <c r="G235" s="346"/>
      <c r="H235" s="348">
        <v>5</v>
      </c>
      <c r="I235" s="345"/>
      <c r="J235" s="349"/>
      <c r="K235" s="325"/>
      <c r="L235" s="325">
        <f t="shared" si="3"/>
        <v>5</v>
      </c>
      <c r="M235" s="325"/>
      <c r="N235" s="363"/>
      <c r="O235" s="363"/>
      <c r="P235" s="364"/>
    </row>
    <row r="236" ht="16.5" customHeight="1" spans="1:16">
      <c r="A236" s="347" t="s">
        <v>282</v>
      </c>
      <c r="B236" s="348"/>
      <c r="C236" s="348"/>
      <c r="D236" s="349"/>
      <c r="E236" s="348"/>
      <c r="F236" s="345"/>
      <c r="G236" s="346"/>
      <c r="H236" s="348">
        <v>709</v>
      </c>
      <c r="I236" s="345"/>
      <c r="J236" s="349"/>
      <c r="K236" s="325"/>
      <c r="L236" s="325">
        <f t="shared" si="3"/>
        <v>709</v>
      </c>
      <c r="M236" s="325"/>
      <c r="N236" s="363"/>
      <c r="O236" s="363"/>
      <c r="P236" s="364"/>
    </row>
    <row r="237" ht="16.5" hidden="1" customHeight="1" spans="1:16">
      <c r="A237" s="347" t="s">
        <v>283</v>
      </c>
      <c r="B237" s="348"/>
      <c r="C237" s="348"/>
      <c r="D237" s="349"/>
      <c r="E237" s="348"/>
      <c r="F237" s="345"/>
      <c r="G237" s="346"/>
      <c r="H237" s="348">
        <v>0</v>
      </c>
      <c r="I237" s="345"/>
      <c r="J237" s="349"/>
      <c r="K237" s="325"/>
      <c r="L237" s="325">
        <f t="shared" si="3"/>
        <v>0</v>
      </c>
      <c r="M237" s="325"/>
      <c r="N237" s="363"/>
      <c r="O237" s="363"/>
      <c r="P237" s="364"/>
    </row>
    <row r="238" ht="16.5" customHeight="1" spans="1:16">
      <c r="A238" s="347" t="s">
        <v>284</v>
      </c>
      <c r="B238" s="348"/>
      <c r="C238" s="348"/>
      <c r="D238" s="349"/>
      <c r="E238" s="348"/>
      <c r="F238" s="345"/>
      <c r="G238" s="346"/>
      <c r="H238" s="348">
        <v>258</v>
      </c>
      <c r="I238" s="345"/>
      <c r="J238" s="349"/>
      <c r="K238" s="325"/>
      <c r="L238" s="325">
        <f t="shared" si="3"/>
        <v>258</v>
      </c>
      <c r="M238" s="325"/>
      <c r="N238" s="363"/>
      <c r="O238" s="363"/>
      <c r="P238" s="364"/>
    </row>
    <row r="239" s="326" customFormat="1" ht="16.5" customHeight="1" spans="1:16">
      <c r="A239" s="347" t="s">
        <v>285</v>
      </c>
      <c r="B239" s="371">
        <v>748</v>
      </c>
      <c r="C239" s="348">
        <v>1108</v>
      </c>
      <c r="D239" s="349">
        <f>C239/B239*100</f>
        <v>148.128342245989</v>
      </c>
      <c r="E239" s="348">
        <v>1670</v>
      </c>
      <c r="F239" s="345">
        <f t="shared" ref="F239:F241" si="5">C239-E239</f>
        <v>-562</v>
      </c>
      <c r="G239" s="346">
        <f>F239/E239*100</f>
        <v>-33.6526946107784</v>
      </c>
      <c r="H239" s="348">
        <v>735.9708</v>
      </c>
      <c r="I239" s="345">
        <f>H239-B239</f>
        <v>-12.0291999999999</v>
      </c>
      <c r="J239" s="349">
        <f>I239/B239*100</f>
        <v>-1.60818181818181</v>
      </c>
      <c r="K239" s="325"/>
      <c r="L239" s="325">
        <f t="shared" si="3"/>
        <v>2130.80906581703</v>
      </c>
      <c r="M239" s="325"/>
      <c r="N239" s="363"/>
      <c r="O239" s="363"/>
      <c r="P239" s="364"/>
    </row>
    <row r="240" s="325" customFormat="1" ht="16.5" customHeight="1" spans="1:16">
      <c r="A240" s="344" t="s">
        <v>286</v>
      </c>
      <c r="B240" s="345">
        <f>B241+B244+B255+B262+B270+B279+B293+B303+B313+B321+B327</f>
        <v>173862</v>
      </c>
      <c r="C240" s="345">
        <f>C241+C244+C255+C262+C270+C279+C293+C303+C313+C321+C327</f>
        <v>187368</v>
      </c>
      <c r="D240" s="349">
        <f t="shared" ref="D240:D241" si="6">C240/B240*100</f>
        <v>107.768229975498</v>
      </c>
      <c r="E240" s="345">
        <f>E241+E244+E255+E262+E270+E279+E293+E303+E313+E321+E327</f>
        <v>174520</v>
      </c>
      <c r="F240" s="345">
        <f t="shared" si="5"/>
        <v>12848</v>
      </c>
      <c r="G240" s="346">
        <f t="shared" ref="G240:G241" si="7">F240/E240*100</f>
        <v>7.36190694476278</v>
      </c>
      <c r="H240" s="345">
        <f>H241+H244+H255+H262+H270+H279+H293+H303+H313+H321+H327</f>
        <v>171628.215958</v>
      </c>
      <c r="I240" s="345">
        <f t="shared" ref="I239:I241" si="8">H240-B240</f>
        <v>-2233.78404200001</v>
      </c>
      <c r="J240" s="346">
        <f t="shared" ref="J240:J241" si="9">I240/B240*100</f>
        <v>-1.28480291380521</v>
      </c>
      <c r="L240" s="325">
        <f t="shared" si="3"/>
        <v>543586.277250007</v>
      </c>
      <c r="N240" s="362"/>
      <c r="O240" s="362"/>
      <c r="P240" s="364"/>
    </row>
    <row r="241" s="326" customFormat="1" ht="16.5" customHeight="1" spans="1:16">
      <c r="A241" s="347" t="s">
        <v>287</v>
      </c>
      <c r="B241" s="348">
        <v>253</v>
      </c>
      <c r="C241" s="348">
        <v>62</v>
      </c>
      <c r="D241" s="349">
        <f t="shared" si="6"/>
        <v>24.5059288537549</v>
      </c>
      <c r="E241" s="348">
        <v>63</v>
      </c>
      <c r="F241" s="345">
        <f t="shared" si="5"/>
        <v>-1</v>
      </c>
      <c r="G241" s="346">
        <f t="shared" si="7"/>
        <v>-1.58730158730159</v>
      </c>
      <c r="H241" s="348">
        <f>H242+H243</f>
        <v>268</v>
      </c>
      <c r="I241" s="345">
        <f t="shared" si="8"/>
        <v>15</v>
      </c>
      <c r="J241" s="349">
        <f t="shared" si="9"/>
        <v>5.92885375494071</v>
      </c>
      <c r="K241" s="325"/>
      <c r="L241" s="325">
        <f t="shared" si="3"/>
        <v>625.847481021394</v>
      </c>
      <c r="M241" s="325"/>
      <c r="N241" s="363"/>
      <c r="O241" s="363"/>
      <c r="P241" s="364"/>
    </row>
    <row r="242" ht="16.5" customHeight="1" spans="1:16">
      <c r="A242" s="347" t="s">
        <v>288</v>
      </c>
      <c r="B242" s="348"/>
      <c r="C242" s="348">
        <v>0</v>
      </c>
      <c r="D242" s="349"/>
      <c r="E242" s="348"/>
      <c r="F242" s="345"/>
      <c r="G242" s="346"/>
      <c r="H242" s="348">
        <v>15</v>
      </c>
      <c r="I242" s="345"/>
      <c r="J242" s="349"/>
      <c r="K242" s="325"/>
      <c r="L242" s="325">
        <f t="shared" si="3"/>
        <v>15</v>
      </c>
      <c r="M242" s="325"/>
      <c r="N242" s="363"/>
      <c r="O242" s="363"/>
      <c r="P242" s="364"/>
    </row>
    <row r="243" ht="16.5" customHeight="1" spans="1:16">
      <c r="A243" s="347" t="s">
        <v>289</v>
      </c>
      <c r="B243" s="348"/>
      <c r="C243" s="348">
        <v>0</v>
      </c>
      <c r="D243" s="349"/>
      <c r="E243" s="348"/>
      <c r="F243" s="345"/>
      <c r="G243" s="346"/>
      <c r="H243" s="348">
        <v>253</v>
      </c>
      <c r="I243" s="345"/>
      <c r="J243" s="349"/>
      <c r="K243" s="325"/>
      <c r="L243" s="325">
        <f t="shared" si="3"/>
        <v>253</v>
      </c>
      <c r="M243" s="325"/>
      <c r="N243" s="363"/>
      <c r="O243" s="363"/>
      <c r="P243" s="364"/>
    </row>
    <row r="244" s="326" customFormat="1" ht="16.5" customHeight="1" spans="1:16">
      <c r="A244" s="347" t="s">
        <v>290</v>
      </c>
      <c r="B244" s="348">
        <v>122884</v>
      </c>
      <c r="C244" s="348">
        <v>121029</v>
      </c>
      <c r="D244" s="349">
        <f>C244/B244*100</f>
        <v>98.4904462745353</v>
      </c>
      <c r="E244" s="348">
        <v>111437</v>
      </c>
      <c r="F244" s="345">
        <f>C244-E244</f>
        <v>9592</v>
      </c>
      <c r="G244" s="346">
        <f>F244/E244*100</f>
        <v>8.60755404398898</v>
      </c>
      <c r="H244" s="348">
        <f>SUM(H245:H254)</f>
        <v>121173.107965</v>
      </c>
      <c r="I244" s="345">
        <f>H244-B244</f>
        <v>-1710.89203500001</v>
      </c>
      <c r="J244" s="349">
        <f>I244/B244*100</f>
        <v>-1.39228218075584</v>
      </c>
      <c r="K244" s="325"/>
      <c r="L244" s="325">
        <f t="shared" si="3"/>
        <v>373072.921648138</v>
      </c>
      <c r="M244" s="325"/>
      <c r="N244" s="363"/>
      <c r="O244" s="363"/>
      <c r="P244" s="364"/>
    </row>
    <row r="245" ht="16.5" customHeight="1" spans="1:16">
      <c r="A245" s="347" t="s">
        <v>155</v>
      </c>
      <c r="B245" s="348"/>
      <c r="C245" s="348"/>
      <c r="D245" s="349"/>
      <c r="E245" s="348"/>
      <c r="F245" s="345"/>
      <c r="G245" s="346"/>
      <c r="H245" s="348">
        <v>80926.818311</v>
      </c>
      <c r="I245" s="345"/>
      <c r="J245" s="349"/>
      <c r="K245" s="325"/>
      <c r="L245" s="325">
        <f t="shared" si="3"/>
        <v>80926.818311</v>
      </c>
      <c r="M245" s="325"/>
      <c r="N245" s="363"/>
      <c r="O245" s="363"/>
      <c r="P245" s="364"/>
    </row>
    <row r="246" ht="16.5" customHeight="1" spans="1:16">
      <c r="A246" s="347" t="s">
        <v>156</v>
      </c>
      <c r="B246" s="348"/>
      <c r="C246" s="348"/>
      <c r="D246" s="349"/>
      <c r="E246" s="348"/>
      <c r="F246" s="345"/>
      <c r="G246" s="346"/>
      <c r="H246" s="348">
        <v>22706.795847</v>
      </c>
      <c r="I246" s="345"/>
      <c r="J246" s="349"/>
      <c r="K246" s="325"/>
      <c r="L246" s="325">
        <f t="shared" si="3"/>
        <v>22706.795847</v>
      </c>
      <c r="M246" s="325"/>
      <c r="N246" s="363"/>
      <c r="O246" s="363"/>
      <c r="P246" s="364"/>
    </row>
    <row r="247" ht="16.5" customHeight="1" spans="1:16">
      <c r="A247" s="347" t="s">
        <v>157</v>
      </c>
      <c r="B247" s="348"/>
      <c r="C247" s="348"/>
      <c r="D247" s="349"/>
      <c r="E247" s="348"/>
      <c r="F247" s="345"/>
      <c r="G247" s="346"/>
      <c r="H247" s="348">
        <v>10681</v>
      </c>
      <c r="I247" s="345"/>
      <c r="J247" s="349"/>
      <c r="K247" s="325"/>
      <c r="L247" s="325">
        <f t="shared" si="3"/>
        <v>10681</v>
      </c>
      <c r="M247" s="325"/>
      <c r="N247" s="363"/>
      <c r="O247" s="363"/>
      <c r="P247" s="364"/>
    </row>
    <row r="248" ht="16.5" hidden="1" customHeight="1" spans="1:16">
      <c r="A248" s="347" t="s">
        <v>195</v>
      </c>
      <c r="B248" s="348"/>
      <c r="C248" s="348"/>
      <c r="D248" s="349"/>
      <c r="E248" s="348"/>
      <c r="F248" s="345"/>
      <c r="G248" s="346"/>
      <c r="H248" s="348">
        <v>0</v>
      </c>
      <c r="I248" s="345"/>
      <c r="J248" s="349"/>
      <c r="K248" s="325"/>
      <c r="L248" s="325">
        <f t="shared" si="3"/>
        <v>0</v>
      </c>
      <c r="M248" s="325"/>
      <c r="N248" s="363"/>
      <c r="O248" s="363"/>
      <c r="P248" s="364"/>
    </row>
    <row r="249" ht="16.5" customHeight="1" spans="1:16">
      <c r="A249" s="347" t="s">
        <v>291</v>
      </c>
      <c r="B249" s="348"/>
      <c r="C249" s="348"/>
      <c r="D249" s="349"/>
      <c r="E249" s="348"/>
      <c r="F249" s="345"/>
      <c r="G249" s="346"/>
      <c r="H249" s="348">
        <v>2306</v>
      </c>
      <c r="I249" s="345"/>
      <c r="J249" s="349"/>
      <c r="K249" s="325"/>
      <c r="L249" s="325">
        <f t="shared" si="3"/>
        <v>2306</v>
      </c>
      <c r="M249" s="325"/>
      <c r="N249" s="363"/>
      <c r="O249" s="363"/>
      <c r="P249" s="364"/>
    </row>
    <row r="250" ht="16.5" customHeight="1" spans="1:16">
      <c r="A250" s="347" t="s">
        <v>292</v>
      </c>
      <c r="B250" s="348"/>
      <c r="C250" s="348"/>
      <c r="D250" s="349"/>
      <c r="E250" s="348"/>
      <c r="F250" s="345"/>
      <c r="G250" s="346"/>
      <c r="H250" s="348">
        <f>1000-157</f>
        <v>843</v>
      </c>
      <c r="I250" s="345"/>
      <c r="J250" s="349"/>
      <c r="K250" s="325"/>
      <c r="L250" s="325">
        <f t="shared" si="3"/>
        <v>843</v>
      </c>
      <c r="M250" s="325"/>
      <c r="N250" s="363"/>
      <c r="O250" s="363"/>
      <c r="P250" s="364"/>
    </row>
    <row r="251" ht="16.5" hidden="1" customHeight="1" spans="1:16">
      <c r="A251" s="347" t="s">
        <v>293</v>
      </c>
      <c r="B251" s="348"/>
      <c r="C251" s="348"/>
      <c r="D251" s="349"/>
      <c r="E251" s="348"/>
      <c r="F251" s="345"/>
      <c r="G251" s="346"/>
      <c r="H251" s="348">
        <v>0</v>
      </c>
      <c r="I251" s="345"/>
      <c r="J251" s="349"/>
      <c r="K251" s="325"/>
      <c r="L251" s="325">
        <f t="shared" si="3"/>
        <v>0</v>
      </c>
      <c r="M251" s="325"/>
      <c r="N251" s="363"/>
      <c r="O251" s="363"/>
      <c r="P251" s="364"/>
    </row>
    <row r="252" ht="16.5" customHeight="1" spans="1:16">
      <c r="A252" s="347" t="s">
        <v>294</v>
      </c>
      <c r="B252" s="348"/>
      <c r="C252" s="348"/>
      <c r="D252" s="349"/>
      <c r="E252" s="348"/>
      <c r="F252" s="345"/>
      <c r="G252" s="346"/>
      <c r="H252" s="348">
        <v>157</v>
      </c>
      <c r="I252" s="345"/>
      <c r="J252" s="349"/>
      <c r="K252" s="325"/>
      <c r="L252" s="325">
        <f t="shared" si="3"/>
        <v>157</v>
      </c>
      <c r="M252" s="325"/>
      <c r="N252" s="363"/>
      <c r="O252" s="363"/>
      <c r="P252" s="364"/>
    </row>
    <row r="253" ht="16.5" customHeight="1" spans="1:16">
      <c r="A253" s="347" t="s">
        <v>164</v>
      </c>
      <c r="B253" s="348"/>
      <c r="C253" s="348"/>
      <c r="D253" s="349"/>
      <c r="E253" s="348"/>
      <c r="F253" s="345"/>
      <c r="G253" s="346"/>
      <c r="H253" s="348">
        <v>472.843807</v>
      </c>
      <c r="I253" s="345"/>
      <c r="J253" s="349"/>
      <c r="K253" s="325"/>
      <c r="L253" s="325">
        <f t="shared" si="3"/>
        <v>472.843807</v>
      </c>
      <c r="M253" s="325"/>
      <c r="N253" s="363"/>
      <c r="O253" s="363"/>
      <c r="P253" s="364"/>
    </row>
    <row r="254" ht="16.5" customHeight="1" spans="1:16">
      <c r="A254" s="347" t="s">
        <v>295</v>
      </c>
      <c r="B254" s="348"/>
      <c r="C254" s="348"/>
      <c r="D254" s="349"/>
      <c r="E254" s="348"/>
      <c r="F254" s="345"/>
      <c r="G254" s="346"/>
      <c r="H254" s="348">
        <v>3079.65</v>
      </c>
      <c r="I254" s="345"/>
      <c r="J254" s="349"/>
      <c r="K254" s="325"/>
      <c r="L254" s="325">
        <f t="shared" si="3"/>
        <v>3079.65</v>
      </c>
      <c r="M254" s="325"/>
      <c r="N254" s="363"/>
      <c r="O254" s="363"/>
      <c r="P254" s="364"/>
    </row>
    <row r="255" s="326" customFormat="1" ht="16.5" customHeight="1" spans="1:16">
      <c r="A255" s="347" t="s">
        <v>296</v>
      </c>
      <c r="B255" s="348">
        <v>58</v>
      </c>
      <c r="C255" s="348">
        <v>163</v>
      </c>
      <c r="D255" s="349">
        <f>C255/B255*100</f>
        <v>281.034482758621</v>
      </c>
      <c r="E255" s="348">
        <v>54</v>
      </c>
      <c r="F255" s="345">
        <f>C255-E255</f>
        <v>109</v>
      </c>
      <c r="G255" s="346">
        <f>F255/E255*100</f>
        <v>201.851851851852</v>
      </c>
      <c r="H255" s="348">
        <f>SUM(H256:H261)</f>
        <v>54.4</v>
      </c>
      <c r="I255" s="345">
        <f>H255-B255</f>
        <v>-3.6</v>
      </c>
      <c r="J255" s="349">
        <f>I255/B255*100</f>
        <v>-6.20689655172414</v>
      </c>
      <c r="K255" s="325"/>
      <c r="L255" s="325">
        <f t="shared" si="3"/>
        <v>857.479438058749</v>
      </c>
      <c r="M255" s="325"/>
      <c r="N255" s="363"/>
      <c r="O255" s="363"/>
      <c r="P255" s="364"/>
    </row>
    <row r="256" ht="16.5" hidden="1" customHeight="1" spans="1:16">
      <c r="A256" s="365" t="s">
        <v>155</v>
      </c>
      <c r="B256" s="348"/>
      <c r="C256" s="348"/>
      <c r="D256" s="349"/>
      <c r="E256" s="348"/>
      <c r="F256" s="345"/>
      <c r="G256" s="346"/>
      <c r="H256" s="348">
        <v>0</v>
      </c>
      <c r="I256" s="345"/>
      <c r="J256" s="349"/>
      <c r="K256" s="325"/>
      <c r="L256" s="325">
        <f t="shared" si="3"/>
        <v>0</v>
      </c>
      <c r="M256" s="325"/>
      <c r="N256" s="363"/>
      <c r="O256" s="363"/>
      <c r="P256" s="364"/>
    </row>
    <row r="257" ht="16.5" hidden="1" customHeight="1" spans="1:16">
      <c r="A257" s="365" t="s">
        <v>156</v>
      </c>
      <c r="B257" s="348"/>
      <c r="C257" s="348"/>
      <c r="D257" s="349"/>
      <c r="E257" s="348"/>
      <c r="F257" s="345"/>
      <c r="G257" s="346"/>
      <c r="H257" s="348">
        <v>0</v>
      </c>
      <c r="I257" s="345"/>
      <c r="J257" s="349"/>
      <c r="K257" s="325"/>
      <c r="L257" s="325">
        <f t="shared" si="3"/>
        <v>0</v>
      </c>
      <c r="M257" s="325"/>
      <c r="N257" s="363"/>
      <c r="O257" s="363"/>
      <c r="P257" s="364"/>
    </row>
    <row r="258" ht="16.5" hidden="1" customHeight="1" spans="1:16">
      <c r="A258" s="365" t="s">
        <v>157</v>
      </c>
      <c r="B258" s="348"/>
      <c r="C258" s="348"/>
      <c r="D258" s="349"/>
      <c r="E258" s="348"/>
      <c r="F258" s="345"/>
      <c r="G258" s="346"/>
      <c r="H258" s="348">
        <v>0</v>
      </c>
      <c r="I258" s="345"/>
      <c r="J258" s="349"/>
      <c r="K258" s="325"/>
      <c r="L258" s="325">
        <f t="shared" si="3"/>
        <v>0</v>
      </c>
      <c r="M258" s="325"/>
      <c r="N258" s="363"/>
      <c r="O258" s="363"/>
      <c r="P258" s="364"/>
    </row>
    <row r="259" ht="16.5" hidden="1" customHeight="1" spans="1:16">
      <c r="A259" s="365" t="s">
        <v>297</v>
      </c>
      <c r="B259" s="348"/>
      <c r="C259" s="348"/>
      <c r="D259" s="349"/>
      <c r="E259" s="348"/>
      <c r="F259" s="345"/>
      <c r="G259" s="346"/>
      <c r="H259" s="348">
        <v>0</v>
      </c>
      <c r="I259" s="345"/>
      <c r="J259" s="349"/>
      <c r="K259" s="325"/>
      <c r="L259" s="325">
        <f t="shared" si="3"/>
        <v>0</v>
      </c>
      <c r="M259" s="325"/>
      <c r="N259" s="363"/>
      <c r="O259" s="363"/>
      <c r="P259" s="364"/>
    </row>
    <row r="260" ht="16.5" hidden="1" customHeight="1" spans="1:16">
      <c r="A260" s="365" t="s">
        <v>164</v>
      </c>
      <c r="B260" s="348"/>
      <c r="C260" s="348"/>
      <c r="D260" s="349"/>
      <c r="E260" s="348"/>
      <c r="F260" s="345"/>
      <c r="G260" s="346"/>
      <c r="H260" s="348">
        <v>0</v>
      </c>
      <c r="I260" s="345"/>
      <c r="J260" s="349"/>
      <c r="K260" s="325"/>
      <c r="L260" s="325">
        <f t="shared" si="3"/>
        <v>0</v>
      </c>
      <c r="M260" s="325"/>
      <c r="N260" s="363"/>
      <c r="O260" s="363"/>
      <c r="P260" s="364"/>
    </row>
    <row r="261" ht="16.5" customHeight="1" spans="1:16">
      <c r="A261" s="365" t="s">
        <v>298</v>
      </c>
      <c r="B261" s="348"/>
      <c r="C261" s="348"/>
      <c r="D261" s="349"/>
      <c r="E261" s="348"/>
      <c r="F261" s="345"/>
      <c r="G261" s="346"/>
      <c r="H261" s="348">
        <v>54.4</v>
      </c>
      <c r="I261" s="345"/>
      <c r="J261" s="349"/>
      <c r="K261" s="325"/>
      <c r="L261" s="325">
        <f t="shared" si="3"/>
        <v>54.4</v>
      </c>
      <c r="M261" s="325"/>
      <c r="N261" s="363"/>
      <c r="O261" s="363"/>
      <c r="P261" s="364"/>
    </row>
    <row r="262" s="326" customFormat="1" ht="16.5" customHeight="1" spans="1:16">
      <c r="A262" s="347" t="s">
        <v>299</v>
      </c>
      <c r="B262" s="348">
        <v>11221</v>
      </c>
      <c r="C262" s="348">
        <v>14142</v>
      </c>
      <c r="D262" s="349">
        <f>C262/B262*100</f>
        <v>126.031547990375</v>
      </c>
      <c r="E262" s="348">
        <v>13581</v>
      </c>
      <c r="F262" s="345">
        <f>C262-E262</f>
        <v>561</v>
      </c>
      <c r="G262" s="346">
        <f>F262/E262*100</f>
        <v>4.1307709299757</v>
      </c>
      <c r="H262" s="348">
        <f>SUM(H263:H269)</f>
        <v>11225.37178</v>
      </c>
      <c r="I262" s="345">
        <f>H262-B262</f>
        <v>4.37178000000131</v>
      </c>
      <c r="J262" s="349">
        <f>I262/B262*100</f>
        <v>0.038960698689968</v>
      </c>
      <c r="K262" s="325"/>
      <c r="L262" s="325">
        <f t="shared" si="3"/>
        <v>37283.944839619</v>
      </c>
      <c r="M262" s="325"/>
      <c r="N262" s="363"/>
      <c r="O262" s="363"/>
      <c r="P262" s="364"/>
    </row>
    <row r="263" ht="16.5" customHeight="1" spans="1:16">
      <c r="A263" s="347" t="s">
        <v>155</v>
      </c>
      <c r="B263" s="348"/>
      <c r="C263" s="348"/>
      <c r="D263" s="349"/>
      <c r="E263" s="348"/>
      <c r="F263" s="345"/>
      <c r="G263" s="346"/>
      <c r="H263" s="348">
        <v>7841.473804</v>
      </c>
      <c r="I263" s="345"/>
      <c r="J263" s="349"/>
      <c r="K263" s="325"/>
      <c r="L263" s="325">
        <f t="shared" si="3"/>
        <v>7841.473804</v>
      </c>
      <c r="M263" s="325"/>
      <c r="N263" s="363"/>
      <c r="O263" s="363"/>
      <c r="P263" s="364"/>
    </row>
    <row r="264" ht="16.5" customHeight="1" spans="1:16">
      <c r="A264" s="347" t="s">
        <v>156</v>
      </c>
      <c r="B264" s="348"/>
      <c r="C264" s="348">
        <v>0</v>
      </c>
      <c r="D264" s="349"/>
      <c r="E264" s="348"/>
      <c r="F264" s="345"/>
      <c r="G264" s="346"/>
      <c r="H264" s="348">
        <v>3375.897976</v>
      </c>
      <c r="I264" s="345"/>
      <c r="J264" s="349"/>
      <c r="K264" s="325"/>
      <c r="L264" s="325">
        <f t="shared" ref="L264:L327" si="10">B264+C264+D264+F264+G264+H264+I264+J264</f>
        <v>3375.897976</v>
      </c>
      <c r="M264" s="325"/>
      <c r="N264" s="363"/>
      <c r="O264" s="363"/>
      <c r="P264" s="364"/>
    </row>
    <row r="265" ht="16.5" hidden="1" customHeight="1" spans="1:16">
      <c r="A265" s="347" t="s">
        <v>157</v>
      </c>
      <c r="B265" s="348"/>
      <c r="C265" s="348">
        <v>0</v>
      </c>
      <c r="D265" s="349"/>
      <c r="E265" s="348"/>
      <c r="F265" s="345"/>
      <c r="G265" s="346"/>
      <c r="H265" s="348">
        <v>0</v>
      </c>
      <c r="I265" s="345"/>
      <c r="J265" s="349"/>
      <c r="K265" s="325"/>
      <c r="L265" s="325">
        <f t="shared" si="10"/>
        <v>0</v>
      </c>
      <c r="M265" s="325"/>
      <c r="N265" s="363"/>
      <c r="O265" s="363"/>
      <c r="P265" s="364"/>
    </row>
    <row r="266" ht="16.5" hidden="1" customHeight="1" spans="1:16">
      <c r="A266" s="347" t="s">
        <v>300</v>
      </c>
      <c r="B266" s="348"/>
      <c r="C266" s="348">
        <v>0</v>
      </c>
      <c r="D266" s="349"/>
      <c r="E266" s="348"/>
      <c r="F266" s="345"/>
      <c r="G266" s="346"/>
      <c r="H266" s="348">
        <v>0</v>
      </c>
      <c r="I266" s="345"/>
      <c r="J266" s="349"/>
      <c r="K266" s="325"/>
      <c r="L266" s="325">
        <f t="shared" si="10"/>
        <v>0</v>
      </c>
      <c r="M266" s="325"/>
      <c r="N266" s="363"/>
      <c r="O266" s="363"/>
      <c r="P266" s="364"/>
    </row>
    <row r="267" ht="16.5" hidden="1" customHeight="1" spans="1:16">
      <c r="A267" s="347" t="s">
        <v>301</v>
      </c>
      <c r="B267" s="348"/>
      <c r="C267" s="348">
        <v>0</v>
      </c>
      <c r="D267" s="349"/>
      <c r="E267" s="348"/>
      <c r="F267" s="345"/>
      <c r="G267" s="346"/>
      <c r="H267" s="348">
        <v>0</v>
      </c>
      <c r="I267" s="345"/>
      <c r="J267" s="349"/>
      <c r="K267" s="325"/>
      <c r="L267" s="325">
        <f t="shared" si="10"/>
        <v>0</v>
      </c>
      <c r="M267" s="325"/>
      <c r="N267" s="363"/>
      <c r="O267" s="363"/>
      <c r="P267" s="364"/>
    </row>
    <row r="268" ht="16.5" customHeight="1" spans="1:16">
      <c r="A268" s="347" t="s">
        <v>164</v>
      </c>
      <c r="B268" s="348"/>
      <c r="C268" s="348">
        <v>0</v>
      </c>
      <c r="D268" s="349"/>
      <c r="E268" s="348"/>
      <c r="F268" s="345"/>
      <c r="G268" s="346"/>
      <c r="H268" s="348">
        <v>8</v>
      </c>
      <c r="I268" s="345"/>
      <c r="J268" s="349"/>
      <c r="K268" s="325"/>
      <c r="L268" s="325">
        <f t="shared" si="10"/>
        <v>8</v>
      </c>
      <c r="M268" s="325"/>
      <c r="N268" s="363"/>
      <c r="O268" s="363"/>
      <c r="P268" s="364"/>
    </row>
    <row r="269" ht="16.5" hidden="1" customHeight="1" spans="1:16">
      <c r="A269" s="347" t="s">
        <v>302</v>
      </c>
      <c r="B269" s="348"/>
      <c r="C269" s="348">
        <v>0</v>
      </c>
      <c r="D269" s="349"/>
      <c r="E269" s="348"/>
      <c r="F269" s="345"/>
      <c r="G269" s="346"/>
      <c r="H269" s="348">
        <v>0</v>
      </c>
      <c r="I269" s="345"/>
      <c r="J269" s="349"/>
      <c r="K269" s="325"/>
      <c r="L269" s="325">
        <f t="shared" si="10"/>
        <v>0</v>
      </c>
      <c r="M269" s="325"/>
      <c r="N269" s="363"/>
      <c r="O269" s="363"/>
      <c r="P269" s="364"/>
    </row>
    <row r="270" s="326" customFormat="1" ht="16.5" customHeight="1" spans="1:16">
      <c r="A270" s="347" t="s">
        <v>303</v>
      </c>
      <c r="B270" s="348">
        <v>23378</v>
      </c>
      <c r="C270" s="348">
        <v>32565</v>
      </c>
      <c r="D270" s="349">
        <f>C270/B270*100</f>
        <v>139.297630250663</v>
      </c>
      <c r="E270" s="348">
        <v>32974</v>
      </c>
      <c r="F270" s="345">
        <f>C270-E270</f>
        <v>-409</v>
      </c>
      <c r="G270" s="346">
        <f>F270/E270*100</f>
        <v>-1.24037120155274</v>
      </c>
      <c r="H270" s="348">
        <f>SUM(H271:H278)</f>
        <v>23378.913537</v>
      </c>
      <c r="I270" s="345">
        <f>H270-B270</f>
        <v>0.913536999996722</v>
      </c>
      <c r="J270" s="349">
        <f>I270/B270*100</f>
        <v>0.00390767815893884</v>
      </c>
      <c r="K270" s="325"/>
      <c r="L270" s="325">
        <f t="shared" si="10"/>
        <v>79051.8882407273</v>
      </c>
      <c r="M270" s="325"/>
      <c r="N270" s="363"/>
      <c r="O270" s="363"/>
      <c r="P270" s="364"/>
    </row>
    <row r="271" ht="16.5" customHeight="1" spans="1:16">
      <c r="A271" s="347" t="s">
        <v>155</v>
      </c>
      <c r="B271" s="348"/>
      <c r="C271" s="348">
        <v>0</v>
      </c>
      <c r="D271" s="349"/>
      <c r="E271" s="348"/>
      <c r="F271" s="345"/>
      <c r="G271" s="346"/>
      <c r="H271" s="348">
        <v>17559.369301</v>
      </c>
      <c r="I271" s="345"/>
      <c r="J271" s="349"/>
      <c r="K271" s="325"/>
      <c r="L271" s="325">
        <f t="shared" si="10"/>
        <v>17559.369301</v>
      </c>
      <c r="M271" s="325"/>
      <c r="N271" s="363"/>
      <c r="O271" s="363"/>
      <c r="P271" s="364"/>
    </row>
    <row r="272" ht="16.5" customHeight="1" spans="1:16">
      <c r="A272" s="347" t="s">
        <v>156</v>
      </c>
      <c r="B272" s="348"/>
      <c r="C272" s="348">
        <v>0</v>
      </c>
      <c r="D272" s="349"/>
      <c r="E272" s="348"/>
      <c r="F272" s="345"/>
      <c r="G272" s="346"/>
      <c r="H272" s="348">
        <v>4271.032451</v>
      </c>
      <c r="I272" s="345"/>
      <c r="J272" s="349"/>
      <c r="K272" s="325"/>
      <c r="L272" s="325">
        <f t="shared" si="10"/>
        <v>4271.032451</v>
      </c>
      <c r="M272" s="325"/>
      <c r="N272" s="363"/>
      <c r="O272" s="363"/>
      <c r="P272" s="364"/>
    </row>
    <row r="273" ht="16.5" hidden="1" customHeight="1" spans="1:16">
      <c r="A273" s="347" t="s">
        <v>157</v>
      </c>
      <c r="B273" s="348"/>
      <c r="C273" s="348">
        <v>0</v>
      </c>
      <c r="D273" s="349"/>
      <c r="E273" s="348"/>
      <c r="F273" s="345"/>
      <c r="G273" s="346"/>
      <c r="H273" s="348">
        <v>0</v>
      </c>
      <c r="I273" s="345"/>
      <c r="J273" s="349"/>
      <c r="K273" s="325"/>
      <c r="L273" s="325">
        <f t="shared" si="10"/>
        <v>0</v>
      </c>
      <c r="M273" s="325"/>
      <c r="N273" s="363"/>
      <c r="O273" s="363"/>
      <c r="P273" s="364"/>
    </row>
    <row r="274" ht="16.5" hidden="1" customHeight="1" spans="1:16">
      <c r="A274" s="347" t="s">
        <v>304</v>
      </c>
      <c r="B274" s="348"/>
      <c r="C274" s="348">
        <v>0</v>
      </c>
      <c r="D274" s="349"/>
      <c r="E274" s="348"/>
      <c r="F274" s="345"/>
      <c r="G274" s="346"/>
      <c r="H274" s="348">
        <v>0</v>
      </c>
      <c r="I274" s="345"/>
      <c r="J274" s="349"/>
      <c r="K274" s="325"/>
      <c r="L274" s="325">
        <f t="shared" si="10"/>
        <v>0</v>
      </c>
      <c r="M274" s="325"/>
      <c r="N274" s="363"/>
      <c r="O274" s="363"/>
      <c r="P274" s="364"/>
    </row>
    <row r="275" ht="16.5" hidden="1" customHeight="1" spans="1:16">
      <c r="A275" s="347" t="s">
        <v>305</v>
      </c>
      <c r="B275" s="348"/>
      <c r="C275" s="348">
        <v>0</v>
      </c>
      <c r="D275" s="349"/>
      <c r="E275" s="348"/>
      <c r="F275" s="345"/>
      <c r="G275" s="346"/>
      <c r="H275" s="348">
        <v>0</v>
      </c>
      <c r="I275" s="345"/>
      <c r="J275" s="349"/>
      <c r="K275" s="325"/>
      <c r="L275" s="325">
        <f t="shared" si="10"/>
        <v>0</v>
      </c>
      <c r="M275" s="325"/>
      <c r="N275" s="363"/>
      <c r="O275" s="363"/>
      <c r="P275" s="364"/>
    </row>
    <row r="276" ht="16.5" customHeight="1" spans="1:16">
      <c r="A276" s="347" t="s">
        <v>306</v>
      </c>
      <c r="B276" s="348"/>
      <c r="C276" s="348">
        <v>0</v>
      </c>
      <c r="D276" s="349"/>
      <c r="E276" s="348"/>
      <c r="F276" s="345"/>
      <c r="G276" s="346"/>
      <c r="H276" s="348">
        <v>48.2097</v>
      </c>
      <c r="I276" s="345"/>
      <c r="J276" s="349"/>
      <c r="K276" s="325"/>
      <c r="L276" s="325">
        <f t="shared" si="10"/>
        <v>48.2097</v>
      </c>
      <c r="M276" s="325"/>
      <c r="N276" s="363"/>
      <c r="O276" s="363"/>
      <c r="P276" s="364"/>
    </row>
    <row r="277" ht="16.5" hidden="1" customHeight="1" spans="1:16">
      <c r="A277" s="347" t="s">
        <v>164</v>
      </c>
      <c r="B277" s="348"/>
      <c r="C277" s="348">
        <v>0</v>
      </c>
      <c r="D277" s="349"/>
      <c r="E277" s="348"/>
      <c r="F277" s="345"/>
      <c r="G277" s="346"/>
      <c r="H277" s="348">
        <v>0</v>
      </c>
      <c r="I277" s="345"/>
      <c r="J277" s="349"/>
      <c r="K277" s="325"/>
      <c r="L277" s="325">
        <f t="shared" si="10"/>
        <v>0</v>
      </c>
      <c r="M277" s="325"/>
      <c r="N277" s="363"/>
      <c r="O277" s="363"/>
      <c r="P277" s="364"/>
    </row>
    <row r="278" ht="16.5" customHeight="1" spans="1:16">
      <c r="A278" s="347" t="s">
        <v>307</v>
      </c>
      <c r="B278" s="348"/>
      <c r="C278" s="348">
        <v>0</v>
      </c>
      <c r="D278" s="349"/>
      <c r="E278" s="348"/>
      <c r="F278" s="345"/>
      <c r="G278" s="346"/>
      <c r="H278" s="348">
        <v>1500.302085</v>
      </c>
      <c r="I278" s="345"/>
      <c r="J278" s="349"/>
      <c r="K278" s="325"/>
      <c r="L278" s="325">
        <f t="shared" si="10"/>
        <v>1500.302085</v>
      </c>
      <c r="M278" s="325"/>
      <c r="N278" s="363"/>
      <c r="O278" s="363"/>
      <c r="P278" s="364"/>
    </row>
    <row r="279" s="326" customFormat="1" ht="16.5" customHeight="1" spans="1:16">
      <c r="A279" s="347" t="s">
        <v>308</v>
      </c>
      <c r="B279" s="348">
        <v>9594</v>
      </c>
      <c r="C279" s="348">
        <v>12286</v>
      </c>
      <c r="D279" s="349">
        <f>C279/B279*100</f>
        <v>128.05920366896</v>
      </c>
      <c r="E279" s="348">
        <v>9656</v>
      </c>
      <c r="F279" s="345">
        <f>C279-E279</f>
        <v>2630</v>
      </c>
      <c r="G279" s="346">
        <f>F279/E279*100</f>
        <v>27.2369511184756</v>
      </c>
      <c r="H279" s="348">
        <f>SUM(H280:H292)</f>
        <v>10803.127218</v>
      </c>
      <c r="I279" s="345">
        <f>H279-B279</f>
        <v>1209.127218</v>
      </c>
      <c r="J279" s="349">
        <f>I279/B279*100</f>
        <v>12.6029520325203</v>
      </c>
      <c r="K279" s="325"/>
      <c r="L279" s="325">
        <f t="shared" si="10"/>
        <v>36690.15354282</v>
      </c>
      <c r="M279" s="325"/>
      <c r="N279" s="363"/>
      <c r="O279" s="363"/>
      <c r="P279" s="364"/>
    </row>
    <row r="280" ht="16.5" customHeight="1" spans="1:16">
      <c r="A280" s="347" t="s">
        <v>155</v>
      </c>
      <c r="B280" s="348"/>
      <c r="C280" s="348"/>
      <c r="D280" s="349"/>
      <c r="E280" s="348"/>
      <c r="F280" s="345"/>
      <c r="G280" s="346"/>
      <c r="H280" s="348">
        <v>8046.269714</v>
      </c>
      <c r="I280" s="345"/>
      <c r="J280" s="349"/>
      <c r="K280" s="325"/>
      <c r="L280" s="325">
        <f t="shared" si="10"/>
        <v>8046.269714</v>
      </c>
      <c r="M280" s="325"/>
      <c r="N280" s="363"/>
      <c r="O280" s="363"/>
      <c r="P280" s="364"/>
    </row>
    <row r="281" ht="16.5" customHeight="1" spans="1:16">
      <c r="A281" s="347" t="s">
        <v>156</v>
      </c>
      <c r="B281" s="348"/>
      <c r="C281" s="348"/>
      <c r="D281" s="349"/>
      <c r="E281" s="348"/>
      <c r="F281" s="345"/>
      <c r="G281" s="346"/>
      <c r="H281" s="348">
        <v>1173.64954</v>
      </c>
      <c r="I281" s="345"/>
      <c r="J281" s="349"/>
      <c r="K281" s="325"/>
      <c r="L281" s="325">
        <f t="shared" si="10"/>
        <v>1173.64954</v>
      </c>
      <c r="M281" s="325"/>
      <c r="N281" s="363"/>
      <c r="O281" s="363"/>
      <c r="P281" s="364"/>
    </row>
    <row r="282" ht="16.5" hidden="1" customHeight="1" spans="1:16">
      <c r="A282" s="347" t="s">
        <v>157</v>
      </c>
      <c r="B282" s="348"/>
      <c r="C282" s="348"/>
      <c r="D282" s="349"/>
      <c r="E282" s="348"/>
      <c r="F282" s="345"/>
      <c r="G282" s="346"/>
      <c r="H282" s="348">
        <v>0</v>
      </c>
      <c r="I282" s="345"/>
      <c r="J282" s="349"/>
      <c r="K282" s="325"/>
      <c r="L282" s="325">
        <f t="shared" si="10"/>
        <v>0</v>
      </c>
      <c r="M282" s="325"/>
      <c r="N282" s="363"/>
      <c r="O282" s="363"/>
      <c r="P282" s="364"/>
    </row>
    <row r="283" ht="16.5" customHeight="1" spans="1:16">
      <c r="A283" s="347" t="s">
        <v>309</v>
      </c>
      <c r="B283" s="348"/>
      <c r="C283" s="348"/>
      <c r="D283" s="349"/>
      <c r="E283" s="348"/>
      <c r="F283" s="345"/>
      <c r="G283" s="346"/>
      <c r="H283" s="348">
        <v>186</v>
      </c>
      <c r="I283" s="345"/>
      <c r="J283" s="349"/>
      <c r="K283" s="325"/>
      <c r="L283" s="325">
        <f t="shared" si="10"/>
        <v>186</v>
      </c>
      <c r="M283" s="325"/>
      <c r="N283" s="363"/>
      <c r="O283" s="363"/>
      <c r="P283" s="364"/>
    </row>
    <row r="284" ht="16.5" customHeight="1" spans="1:16">
      <c r="A284" s="347" t="s">
        <v>310</v>
      </c>
      <c r="B284" s="348"/>
      <c r="C284" s="348"/>
      <c r="D284" s="349"/>
      <c r="E284" s="348"/>
      <c r="F284" s="345"/>
      <c r="G284" s="346"/>
      <c r="H284" s="348">
        <v>101</v>
      </c>
      <c r="I284" s="345"/>
      <c r="J284" s="349"/>
      <c r="K284" s="325"/>
      <c r="L284" s="325">
        <f t="shared" si="10"/>
        <v>101</v>
      </c>
      <c r="M284" s="325"/>
      <c r="N284" s="363"/>
      <c r="O284" s="363"/>
      <c r="P284" s="364"/>
    </row>
    <row r="285" ht="16.5" customHeight="1" spans="1:16">
      <c r="A285" s="347" t="s">
        <v>311</v>
      </c>
      <c r="B285" s="348"/>
      <c r="C285" s="348"/>
      <c r="D285" s="349"/>
      <c r="E285" s="348"/>
      <c r="F285" s="345"/>
      <c r="G285" s="346"/>
      <c r="H285" s="348">
        <v>42</v>
      </c>
      <c r="I285" s="345"/>
      <c r="J285" s="349"/>
      <c r="K285" s="325"/>
      <c r="L285" s="325">
        <f t="shared" si="10"/>
        <v>42</v>
      </c>
      <c r="M285" s="325"/>
      <c r="N285" s="363"/>
      <c r="O285" s="363"/>
      <c r="P285" s="364"/>
    </row>
    <row r="286" ht="16.5" customHeight="1" spans="1:16">
      <c r="A286" s="347" t="s">
        <v>312</v>
      </c>
      <c r="B286" s="348"/>
      <c r="C286" s="348"/>
      <c r="D286" s="349"/>
      <c r="E286" s="348"/>
      <c r="F286" s="345"/>
      <c r="G286" s="346"/>
      <c r="H286" s="348">
        <v>122</v>
      </c>
      <c r="I286" s="345"/>
      <c r="J286" s="349"/>
      <c r="K286" s="325"/>
      <c r="L286" s="325">
        <f t="shared" si="10"/>
        <v>122</v>
      </c>
      <c r="M286" s="325"/>
      <c r="N286" s="363"/>
      <c r="O286" s="363"/>
      <c r="P286" s="364"/>
    </row>
    <row r="287" ht="16.5" hidden="1" customHeight="1" spans="1:16">
      <c r="A287" s="347" t="s">
        <v>313</v>
      </c>
      <c r="B287" s="348"/>
      <c r="C287" s="348"/>
      <c r="D287" s="349"/>
      <c r="E287" s="348"/>
      <c r="F287" s="345"/>
      <c r="G287" s="346"/>
      <c r="H287" s="348">
        <v>0</v>
      </c>
      <c r="I287" s="345"/>
      <c r="J287" s="349"/>
      <c r="K287" s="325"/>
      <c r="L287" s="325">
        <f t="shared" si="10"/>
        <v>0</v>
      </c>
      <c r="M287" s="325"/>
      <c r="N287" s="363"/>
      <c r="O287" s="363"/>
      <c r="P287" s="364"/>
    </row>
    <row r="288" ht="16.5" customHeight="1" spans="1:16">
      <c r="A288" s="347" t="s">
        <v>314</v>
      </c>
      <c r="B288" s="348"/>
      <c r="C288" s="348"/>
      <c r="D288" s="349"/>
      <c r="E288" s="348"/>
      <c r="F288" s="345"/>
      <c r="G288" s="346"/>
      <c r="H288" s="348">
        <v>37</v>
      </c>
      <c r="I288" s="345"/>
      <c r="J288" s="349"/>
      <c r="K288" s="325"/>
      <c r="L288" s="325">
        <f t="shared" si="10"/>
        <v>37</v>
      </c>
      <c r="M288" s="325"/>
      <c r="N288" s="363"/>
      <c r="O288" s="363"/>
      <c r="P288" s="364"/>
    </row>
    <row r="289" ht="16.5" customHeight="1" spans="1:16">
      <c r="A289" s="347" t="s">
        <v>315</v>
      </c>
      <c r="B289" s="348"/>
      <c r="C289" s="348"/>
      <c r="D289" s="349"/>
      <c r="E289" s="348"/>
      <c r="F289" s="345"/>
      <c r="G289" s="346"/>
      <c r="H289" s="348">
        <v>100</v>
      </c>
      <c r="I289" s="345"/>
      <c r="J289" s="349"/>
      <c r="K289" s="325"/>
      <c r="L289" s="325">
        <f t="shared" si="10"/>
        <v>100</v>
      </c>
      <c r="M289" s="325"/>
      <c r="N289" s="363"/>
      <c r="O289" s="363"/>
      <c r="P289" s="364"/>
    </row>
    <row r="290" ht="16.5" hidden="1" customHeight="1" spans="1:16">
      <c r="A290" s="347" t="s">
        <v>195</v>
      </c>
      <c r="B290" s="348"/>
      <c r="C290" s="348"/>
      <c r="D290" s="349"/>
      <c r="E290" s="348"/>
      <c r="F290" s="345"/>
      <c r="G290" s="346"/>
      <c r="H290" s="348">
        <v>0</v>
      </c>
      <c r="I290" s="345"/>
      <c r="J290" s="349"/>
      <c r="K290" s="325"/>
      <c r="L290" s="325">
        <f t="shared" si="10"/>
        <v>0</v>
      </c>
      <c r="M290" s="325"/>
      <c r="N290" s="363"/>
      <c r="O290" s="363"/>
      <c r="P290" s="364"/>
    </row>
    <row r="291" ht="16.5" customHeight="1" spans="1:16">
      <c r="A291" s="347" t="s">
        <v>164</v>
      </c>
      <c r="B291" s="348"/>
      <c r="C291" s="348"/>
      <c r="D291" s="349"/>
      <c r="E291" s="348"/>
      <c r="F291" s="345"/>
      <c r="G291" s="346"/>
      <c r="H291" s="348">
        <v>335.207964</v>
      </c>
      <c r="I291" s="345"/>
      <c r="J291" s="349"/>
      <c r="K291" s="325"/>
      <c r="L291" s="325">
        <f t="shared" si="10"/>
        <v>335.207964</v>
      </c>
      <c r="M291" s="325"/>
      <c r="N291" s="363"/>
      <c r="O291" s="363"/>
      <c r="P291" s="364"/>
    </row>
    <row r="292" ht="16.5" customHeight="1" spans="1:16">
      <c r="A292" s="347" t="s">
        <v>316</v>
      </c>
      <c r="B292" s="348"/>
      <c r="C292" s="348"/>
      <c r="D292" s="349"/>
      <c r="E292" s="348"/>
      <c r="F292" s="345"/>
      <c r="G292" s="346"/>
      <c r="H292" s="348">
        <v>660</v>
      </c>
      <c r="I292" s="345"/>
      <c r="J292" s="349"/>
      <c r="K292" s="325"/>
      <c r="L292" s="325">
        <f t="shared" si="10"/>
        <v>660</v>
      </c>
      <c r="M292" s="325"/>
      <c r="N292" s="363"/>
      <c r="O292" s="363"/>
      <c r="P292" s="364"/>
    </row>
    <row r="293" s="326" customFormat="1" ht="16.5" hidden="1" customHeight="1" spans="1:16">
      <c r="A293" s="347" t="s">
        <v>317</v>
      </c>
      <c r="B293" s="348"/>
      <c r="C293" s="348">
        <v>0</v>
      </c>
      <c r="D293" s="349"/>
      <c r="E293" s="348"/>
      <c r="F293" s="345">
        <f>C293-E293</f>
        <v>0</v>
      </c>
      <c r="G293" s="346"/>
      <c r="H293" s="348"/>
      <c r="I293" s="345">
        <f>H293-B293</f>
        <v>0</v>
      </c>
      <c r="J293" s="349"/>
      <c r="K293" s="325"/>
      <c r="L293" s="325">
        <f t="shared" si="10"/>
        <v>0</v>
      </c>
      <c r="M293" s="325"/>
      <c r="N293" s="363"/>
      <c r="O293" s="363"/>
      <c r="P293" s="364"/>
    </row>
    <row r="294" ht="16.5" hidden="1" customHeight="1" spans="1:16">
      <c r="A294" s="347" t="s">
        <v>155</v>
      </c>
      <c r="B294" s="348"/>
      <c r="C294" s="348">
        <v>0</v>
      </c>
      <c r="D294" s="349"/>
      <c r="E294" s="348"/>
      <c r="F294" s="345"/>
      <c r="G294" s="346"/>
      <c r="H294" s="348"/>
      <c r="I294" s="345"/>
      <c r="J294" s="349"/>
      <c r="K294" s="325"/>
      <c r="L294" s="325">
        <f t="shared" si="10"/>
        <v>0</v>
      </c>
      <c r="M294" s="325"/>
      <c r="N294" s="363"/>
      <c r="O294" s="363"/>
      <c r="P294" s="364"/>
    </row>
    <row r="295" ht="16.5" hidden="1" customHeight="1" spans="1:16">
      <c r="A295" s="347" t="s">
        <v>156</v>
      </c>
      <c r="B295" s="348"/>
      <c r="C295" s="348">
        <v>0</v>
      </c>
      <c r="D295" s="349"/>
      <c r="E295" s="348"/>
      <c r="F295" s="345"/>
      <c r="G295" s="346"/>
      <c r="H295" s="348"/>
      <c r="I295" s="345"/>
      <c r="J295" s="349"/>
      <c r="K295" s="325"/>
      <c r="L295" s="325">
        <f t="shared" si="10"/>
        <v>0</v>
      </c>
      <c r="M295" s="325"/>
      <c r="N295" s="363"/>
      <c r="O295" s="363"/>
      <c r="P295" s="364"/>
    </row>
    <row r="296" ht="16.5" hidden="1" customHeight="1" spans="1:16">
      <c r="A296" s="347" t="s">
        <v>157</v>
      </c>
      <c r="B296" s="348"/>
      <c r="C296" s="348">
        <v>0</v>
      </c>
      <c r="D296" s="349"/>
      <c r="E296" s="348"/>
      <c r="F296" s="345"/>
      <c r="G296" s="346"/>
      <c r="H296" s="348"/>
      <c r="I296" s="345"/>
      <c r="J296" s="349"/>
      <c r="K296" s="325"/>
      <c r="L296" s="325">
        <f t="shared" si="10"/>
        <v>0</v>
      </c>
      <c r="M296" s="325"/>
      <c r="N296" s="363"/>
      <c r="O296" s="363"/>
      <c r="P296" s="364"/>
    </row>
    <row r="297" ht="16.5" hidden="1" customHeight="1" spans="1:16">
      <c r="A297" s="347" t="s">
        <v>318</v>
      </c>
      <c r="B297" s="348"/>
      <c r="C297" s="348">
        <v>0</v>
      </c>
      <c r="D297" s="349"/>
      <c r="E297" s="348"/>
      <c r="F297" s="345"/>
      <c r="G297" s="346"/>
      <c r="H297" s="348"/>
      <c r="I297" s="345"/>
      <c r="J297" s="349"/>
      <c r="K297" s="325"/>
      <c r="L297" s="325">
        <f t="shared" si="10"/>
        <v>0</v>
      </c>
      <c r="M297" s="325"/>
      <c r="N297" s="363"/>
      <c r="O297" s="363"/>
      <c r="P297" s="364"/>
    </row>
    <row r="298" ht="16.5" hidden="1" customHeight="1" spans="1:16">
      <c r="A298" s="347" t="s">
        <v>319</v>
      </c>
      <c r="B298" s="348"/>
      <c r="C298" s="348">
        <v>0</v>
      </c>
      <c r="D298" s="349"/>
      <c r="E298" s="348"/>
      <c r="F298" s="345"/>
      <c r="G298" s="346"/>
      <c r="H298" s="348"/>
      <c r="I298" s="345"/>
      <c r="J298" s="349"/>
      <c r="K298" s="325"/>
      <c r="L298" s="325">
        <f t="shared" si="10"/>
        <v>0</v>
      </c>
      <c r="M298" s="325"/>
      <c r="N298" s="363"/>
      <c r="O298" s="363"/>
      <c r="P298" s="364"/>
    </row>
    <row r="299" ht="16.5" hidden="1" customHeight="1" spans="1:16">
      <c r="A299" s="347" t="s">
        <v>320</v>
      </c>
      <c r="B299" s="348"/>
      <c r="C299" s="348">
        <v>0</v>
      </c>
      <c r="D299" s="349"/>
      <c r="E299" s="348"/>
      <c r="F299" s="345"/>
      <c r="G299" s="346"/>
      <c r="H299" s="348"/>
      <c r="I299" s="345"/>
      <c r="J299" s="349"/>
      <c r="K299" s="325"/>
      <c r="L299" s="325">
        <f t="shared" si="10"/>
        <v>0</v>
      </c>
      <c r="M299" s="325"/>
      <c r="N299" s="363"/>
      <c r="O299" s="363"/>
      <c r="P299" s="364"/>
    </row>
    <row r="300" ht="16.5" hidden="1" customHeight="1" spans="1:16">
      <c r="A300" s="347" t="s">
        <v>195</v>
      </c>
      <c r="B300" s="348"/>
      <c r="C300" s="348">
        <v>0</v>
      </c>
      <c r="D300" s="349"/>
      <c r="E300" s="348"/>
      <c r="F300" s="345"/>
      <c r="G300" s="346"/>
      <c r="H300" s="348"/>
      <c r="I300" s="345"/>
      <c r="J300" s="349"/>
      <c r="K300" s="325"/>
      <c r="L300" s="325">
        <f t="shared" si="10"/>
        <v>0</v>
      </c>
      <c r="M300" s="325"/>
      <c r="N300" s="363"/>
      <c r="O300" s="363"/>
      <c r="P300" s="364"/>
    </row>
    <row r="301" ht="16.5" hidden="1" customHeight="1" spans="1:16">
      <c r="A301" s="347" t="s">
        <v>164</v>
      </c>
      <c r="B301" s="348"/>
      <c r="C301" s="348">
        <v>0</v>
      </c>
      <c r="D301" s="349"/>
      <c r="E301" s="348"/>
      <c r="F301" s="345"/>
      <c r="G301" s="346"/>
      <c r="H301" s="348"/>
      <c r="I301" s="345"/>
      <c r="J301" s="349"/>
      <c r="K301" s="325"/>
      <c r="L301" s="325">
        <f t="shared" si="10"/>
        <v>0</v>
      </c>
      <c r="M301" s="325"/>
      <c r="N301" s="363"/>
      <c r="O301" s="363"/>
      <c r="P301" s="364"/>
    </row>
    <row r="302" ht="16.5" hidden="1" customHeight="1" spans="1:16">
      <c r="A302" s="347" t="s">
        <v>321</v>
      </c>
      <c r="B302" s="348"/>
      <c r="C302" s="348">
        <v>0</v>
      </c>
      <c r="D302" s="349"/>
      <c r="E302" s="348"/>
      <c r="F302" s="345"/>
      <c r="G302" s="346"/>
      <c r="H302" s="348"/>
      <c r="I302" s="345"/>
      <c r="J302" s="349"/>
      <c r="K302" s="325"/>
      <c r="L302" s="325">
        <f t="shared" si="10"/>
        <v>0</v>
      </c>
      <c r="M302" s="325"/>
      <c r="N302" s="363"/>
      <c r="O302" s="363"/>
      <c r="P302" s="364"/>
    </row>
    <row r="303" s="326" customFormat="1" ht="16.5" customHeight="1" spans="1:16">
      <c r="A303" s="347" t="s">
        <v>322</v>
      </c>
      <c r="B303" s="348">
        <v>1000</v>
      </c>
      <c r="C303" s="348">
        <v>1284</v>
      </c>
      <c r="D303" s="349">
        <f>C303/B303*100</f>
        <v>128.4</v>
      </c>
      <c r="E303" s="348">
        <v>1192</v>
      </c>
      <c r="F303" s="345">
        <f>C303-E303</f>
        <v>92</v>
      </c>
      <c r="G303" s="346">
        <f>F303/E303*100</f>
        <v>7.71812080536913</v>
      </c>
      <c r="H303" s="348">
        <f>SUM(H304:H312)</f>
        <v>923.295458</v>
      </c>
      <c r="I303" s="345">
        <f>H303-B303</f>
        <v>-76.7045420000001</v>
      </c>
      <c r="J303" s="349">
        <f>I303/B303*100</f>
        <v>-7.67045420000001</v>
      </c>
      <c r="K303" s="325"/>
      <c r="L303" s="325">
        <f t="shared" si="10"/>
        <v>3351.03858260537</v>
      </c>
      <c r="M303" s="325"/>
      <c r="N303" s="363"/>
      <c r="O303" s="363"/>
      <c r="P303" s="364"/>
    </row>
    <row r="304" ht="16.5" customHeight="1" spans="1:16">
      <c r="A304" s="347" t="s">
        <v>155</v>
      </c>
      <c r="B304" s="348"/>
      <c r="C304" s="348">
        <v>0</v>
      </c>
      <c r="D304" s="349"/>
      <c r="E304" s="348"/>
      <c r="F304" s="345"/>
      <c r="G304" s="346"/>
      <c r="H304" s="348">
        <f>795.775458+38</f>
        <v>833.775458</v>
      </c>
      <c r="I304" s="345"/>
      <c r="J304" s="349"/>
      <c r="K304" s="325"/>
      <c r="L304" s="325">
        <f t="shared" si="10"/>
        <v>833.775458</v>
      </c>
      <c r="M304" s="325"/>
      <c r="N304" s="363"/>
      <c r="O304" s="363"/>
      <c r="P304" s="364"/>
    </row>
    <row r="305" ht="16.5" hidden="1" customHeight="1" spans="1:16">
      <c r="A305" s="347" t="s">
        <v>156</v>
      </c>
      <c r="B305" s="348"/>
      <c r="C305" s="348">
        <v>0</v>
      </c>
      <c r="D305" s="349"/>
      <c r="E305" s="348"/>
      <c r="F305" s="345"/>
      <c r="G305" s="346"/>
      <c r="H305" s="348">
        <v>0</v>
      </c>
      <c r="I305" s="345"/>
      <c r="J305" s="349"/>
      <c r="K305" s="325"/>
      <c r="L305" s="325">
        <f t="shared" si="10"/>
        <v>0</v>
      </c>
      <c r="M305" s="325"/>
      <c r="N305" s="363"/>
      <c r="O305" s="363"/>
      <c r="P305" s="364"/>
    </row>
    <row r="306" ht="16.5" hidden="1" customHeight="1" spans="1:16">
      <c r="A306" s="347" t="s">
        <v>157</v>
      </c>
      <c r="B306" s="348"/>
      <c r="C306" s="348">
        <v>0</v>
      </c>
      <c r="D306" s="349"/>
      <c r="E306" s="348"/>
      <c r="F306" s="345"/>
      <c r="G306" s="346"/>
      <c r="H306" s="348">
        <v>0</v>
      </c>
      <c r="I306" s="345"/>
      <c r="J306" s="349"/>
      <c r="K306" s="325"/>
      <c r="L306" s="325">
        <f t="shared" si="10"/>
        <v>0</v>
      </c>
      <c r="M306" s="325"/>
      <c r="N306" s="363"/>
      <c r="O306" s="363"/>
      <c r="P306" s="364"/>
    </row>
    <row r="307" ht="16.5" customHeight="1" spans="1:16">
      <c r="A307" s="347" t="s">
        <v>323</v>
      </c>
      <c r="B307" s="348"/>
      <c r="C307" s="348">
        <v>0</v>
      </c>
      <c r="D307" s="349"/>
      <c r="E307" s="348"/>
      <c r="F307" s="345"/>
      <c r="G307" s="346"/>
      <c r="H307" s="348">
        <f>50-38</f>
        <v>12</v>
      </c>
      <c r="I307" s="345"/>
      <c r="J307" s="349"/>
      <c r="K307" s="325"/>
      <c r="L307" s="325">
        <f t="shared" si="10"/>
        <v>12</v>
      </c>
      <c r="M307" s="325"/>
      <c r="N307" s="363"/>
      <c r="O307" s="363"/>
      <c r="P307" s="364"/>
    </row>
    <row r="308" ht="16.5" hidden="1" customHeight="1" spans="1:16">
      <c r="A308" s="347" t="s">
        <v>324</v>
      </c>
      <c r="B308" s="348"/>
      <c r="C308" s="348">
        <v>0</v>
      </c>
      <c r="D308" s="349"/>
      <c r="E308" s="348"/>
      <c r="F308" s="345"/>
      <c r="G308" s="346"/>
      <c r="H308" s="348">
        <v>0</v>
      </c>
      <c r="I308" s="345"/>
      <c r="J308" s="349"/>
      <c r="K308" s="325"/>
      <c r="L308" s="325">
        <f t="shared" si="10"/>
        <v>0</v>
      </c>
      <c r="M308" s="325"/>
      <c r="N308" s="363"/>
      <c r="O308" s="363"/>
      <c r="P308" s="364"/>
    </row>
    <row r="309" ht="16.5" hidden="1" customHeight="1" spans="1:16">
      <c r="A309" s="347" t="s">
        <v>325</v>
      </c>
      <c r="B309" s="348"/>
      <c r="C309" s="348">
        <v>0</v>
      </c>
      <c r="D309" s="349"/>
      <c r="E309" s="348"/>
      <c r="F309" s="345"/>
      <c r="G309" s="346"/>
      <c r="H309" s="348">
        <v>0</v>
      </c>
      <c r="I309" s="345"/>
      <c r="J309" s="349"/>
      <c r="K309" s="325"/>
      <c r="L309" s="325">
        <f t="shared" si="10"/>
        <v>0</v>
      </c>
      <c r="M309" s="325"/>
      <c r="N309" s="363"/>
      <c r="O309" s="363"/>
      <c r="P309" s="364"/>
    </row>
    <row r="310" ht="16.5" hidden="1" customHeight="1" spans="1:16">
      <c r="A310" s="347" t="s">
        <v>195</v>
      </c>
      <c r="B310" s="348"/>
      <c r="C310" s="348">
        <v>0</v>
      </c>
      <c r="D310" s="349"/>
      <c r="E310" s="348"/>
      <c r="F310" s="345"/>
      <c r="G310" s="346"/>
      <c r="H310" s="348">
        <v>0</v>
      </c>
      <c r="I310" s="345"/>
      <c r="J310" s="349"/>
      <c r="K310" s="325"/>
      <c r="L310" s="325">
        <f t="shared" si="10"/>
        <v>0</v>
      </c>
      <c r="M310" s="325"/>
      <c r="N310" s="363"/>
      <c r="O310" s="363"/>
      <c r="P310" s="364"/>
    </row>
    <row r="311" ht="16.5" hidden="1" customHeight="1" spans="1:16">
      <c r="A311" s="347" t="s">
        <v>164</v>
      </c>
      <c r="B311" s="348"/>
      <c r="C311" s="348">
        <v>0</v>
      </c>
      <c r="D311" s="349"/>
      <c r="E311" s="348"/>
      <c r="F311" s="345"/>
      <c r="G311" s="346"/>
      <c r="H311" s="348">
        <v>0</v>
      </c>
      <c r="I311" s="345"/>
      <c r="J311" s="349"/>
      <c r="K311" s="325"/>
      <c r="L311" s="325">
        <f t="shared" si="10"/>
        <v>0</v>
      </c>
      <c r="M311" s="325"/>
      <c r="N311" s="363"/>
      <c r="O311" s="363"/>
      <c r="P311" s="364"/>
    </row>
    <row r="312" ht="16.5" customHeight="1" spans="1:16">
      <c r="A312" s="347" t="s">
        <v>326</v>
      </c>
      <c r="B312" s="348"/>
      <c r="C312" s="348">
        <v>0</v>
      </c>
      <c r="D312" s="349"/>
      <c r="E312" s="348"/>
      <c r="F312" s="345"/>
      <c r="G312" s="346"/>
      <c r="H312" s="348">
        <v>77.52</v>
      </c>
      <c r="I312" s="345"/>
      <c r="J312" s="349"/>
      <c r="K312" s="325"/>
      <c r="L312" s="325">
        <f t="shared" si="10"/>
        <v>77.52</v>
      </c>
      <c r="M312" s="325"/>
      <c r="N312" s="363"/>
      <c r="O312" s="363"/>
      <c r="P312" s="364"/>
    </row>
    <row r="313" s="326" customFormat="1" ht="16.5" customHeight="1" spans="1:16">
      <c r="A313" s="347" t="s">
        <v>327</v>
      </c>
      <c r="B313" s="348">
        <v>8</v>
      </c>
      <c r="C313" s="348">
        <v>2</v>
      </c>
      <c r="D313" s="349"/>
      <c r="E313" s="348"/>
      <c r="F313" s="345">
        <f>C313-E313</f>
        <v>2</v>
      </c>
      <c r="G313" s="346"/>
      <c r="H313" s="348"/>
      <c r="I313" s="345">
        <f>H313-B313</f>
        <v>-8</v>
      </c>
      <c r="J313" s="349"/>
      <c r="K313" s="325"/>
      <c r="L313" s="325">
        <f t="shared" si="10"/>
        <v>4</v>
      </c>
      <c r="M313" s="325"/>
      <c r="N313" s="363"/>
      <c r="O313" s="363"/>
      <c r="P313" s="364"/>
    </row>
    <row r="314" ht="16.5" hidden="1" customHeight="1" spans="1:16">
      <c r="A314" s="347" t="s">
        <v>155</v>
      </c>
      <c r="B314" s="348"/>
      <c r="C314" s="348">
        <v>0</v>
      </c>
      <c r="D314" s="349"/>
      <c r="E314" s="348"/>
      <c r="F314" s="345"/>
      <c r="G314" s="346"/>
      <c r="H314" s="348"/>
      <c r="I314" s="345"/>
      <c r="J314" s="349"/>
      <c r="K314" s="325"/>
      <c r="L314" s="325">
        <f t="shared" si="10"/>
        <v>0</v>
      </c>
      <c r="M314" s="325"/>
      <c r="N314" s="363"/>
      <c r="O314" s="363"/>
      <c r="P314" s="364"/>
    </row>
    <row r="315" ht="16.5" hidden="1" customHeight="1" spans="1:16">
      <c r="A315" s="347" t="s">
        <v>156</v>
      </c>
      <c r="B315" s="348"/>
      <c r="C315" s="348"/>
      <c r="D315" s="349"/>
      <c r="E315" s="348"/>
      <c r="F315" s="345"/>
      <c r="G315" s="346"/>
      <c r="H315" s="348"/>
      <c r="I315" s="345"/>
      <c r="J315" s="349"/>
      <c r="K315" s="325"/>
      <c r="L315" s="325">
        <f t="shared" si="10"/>
        <v>0</v>
      </c>
      <c r="M315" s="325"/>
      <c r="N315" s="363"/>
      <c r="O315" s="363"/>
      <c r="P315" s="364"/>
    </row>
    <row r="316" ht="16.5" hidden="1" customHeight="1" spans="1:16">
      <c r="A316" s="347" t="s">
        <v>157</v>
      </c>
      <c r="B316" s="348"/>
      <c r="C316" s="348">
        <v>0</v>
      </c>
      <c r="D316" s="349"/>
      <c r="E316" s="348"/>
      <c r="F316" s="345"/>
      <c r="G316" s="346"/>
      <c r="H316" s="348"/>
      <c r="I316" s="345"/>
      <c r="J316" s="349"/>
      <c r="K316" s="325"/>
      <c r="L316" s="325">
        <f t="shared" si="10"/>
        <v>0</v>
      </c>
      <c r="M316" s="325"/>
      <c r="N316" s="363"/>
      <c r="O316" s="363"/>
      <c r="P316" s="364"/>
    </row>
    <row r="317" ht="16.5" hidden="1" customHeight="1" spans="1:16">
      <c r="A317" s="347" t="s">
        <v>328</v>
      </c>
      <c r="B317" s="348"/>
      <c r="C317" s="348">
        <v>0</v>
      </c>
      <c r="D317" s="349"/>
      <c r="E317" s="348"/>
      <c r="F317" s="345"/>
      <c r="G317" s="346"/>
      <c r="H317" s="348"/>
      <c r="I317" s="345"/>
      <c r="J317" s="349"/>
      <c r="K317" s="325"/>
      <c r="L317" s="325">
        <f t="shared" si="10"/>
        <v>0</v>
      </c>
      <c r="M317" s="325"/>
      <c r="N317" s="363"/>
      <c r="O317" s="363"/>
      <c r="P317" s="364"/>
    </row>
    <row r="318" ht="16.5" hidden="1" customHeight="1" spans="1:16">
      <c r="A318" s="347" t="s">
        <v>329</v>
      </c>
      <c r="B318" s="348"/>
      <c r="C318" s="348">
        <v>0</v>
      </c>
      <c r="D318" s="349"/>
      <c r="E318" s="348"/>
      <c r="F318" s="345"/>
      <c r="G318" s="346"/>
      <c r="H318" s="348"/>
      <c r="I318" s="345"/>
      <c r="J318" s="349"/>
      <c r="K318" s="325"/>
      <c r="L318" s="325">
        <f t="shared" si="10"/>
        <v>0</v>
      </c>
      <c r="M318" s="325"/>
      <c r="N318" s="363"/>
      <c r="O318" s="363"/>
      <c r="P318" s="364"/>
    </row>
    <row r="319" ht="16.5" hidden="1" customHeight="1" spans="1:16">
      <c r="A319" s="347" t="s">
        <v>164</v>
      </c>
      <c r="B319" s="348"/>
      <c r="C319" s="348">
        <v>0</v>
      </c>
      <c r="D319" s="349"/>
      <c r="E319" s="348"/>
      <c r="F319" s="345"/>
      <c r="G319" s="346"/>
      <c r="H319" s="348"/>
      <c r="I319" s="345"/>
      <c r="J319" s="349"/>
      <c r="K319" s="325"/>
      <c r="L319" s="325">
        <f t="shared" si="10"/>
        <v>0</v>
      </c>
      <c r="M319" s="325"/>
      <c r="N319" s="363"/>
      <c r="O319" s="363"/>
      <c r="P319" s="364"/>
    </row>
    <row r="320" ht="16.5" hidden="1" customHeight="1" spans="1:16">
      <c r="A320" s="347" t="s">
        <v>330</v>
      </c>
      <c r="B320" s="348"/>
      <c r="C320" s="348">
        <v>0</v>
      </c>
      <c r="D320" s="349"/>
      <c r="E320" s="348"/>
      <c r="F320" s="345"/>
      <c r="G320" s="346"/>
      <c r="H320" s="348"/>
      <c r="I320" s="345"/>
      <c r="J320" s="349"/>
      <c r="K320" s="325"/>
      <c r="L320" s="325">
        <f t="shared" si="10"/>
        <v>0</v>
      </c>
      <c r="M320" s="325"/>
      <c r="N320" s="363"/>
      <c r="O320" s="363"/>
      <c r="P320" s="364"/>
    </row>
    <row r="321" s="326" customFormat="1" ht="16.5" hidden="1" customHeight="1" spans="1:16">
      <c r="A321" s="347" t="s">
        <v>331</v>
      </c>
      <c r="B321" s="348"/>
      <c r="C321" s="348">
        <v>0</v>
      </c>
      <c r="D321" s="349"/>
      <c r="E321" s="348"/>
      <c r="F321" s="345">
        <f>C321-E321</f>
        <v>0</v>
      </c>
      <c r="G321" s="346"/>
      <c r="H321" s="348"/>
      <c r="I321" s="345">
        <f>H321-B321</f>
        <v>0</v>
      </c>
      <c r="J321" s="349"/>
      <c r="K321" s="325"/>
      <c r="L321" s="325">
        <f t="shared" si="10"/>
        <v>0</v>
      </c>
      <c r="M321" s="325"/>
      <c r="N321" s="363"/>
      <c r="O321" s="363"/>
      <c r="P321" s="364"/>
    </row>
    <row r="322" ht="16.5" hidden="1" customHeight="1" spans="1:16">
      <c r="A322" s="347" t="s">
        <v>155</v>
      </c>
      <c r="B322" s="348"/>
      <c r="C322" s="348">
        <v>0</v>
      </c>
      <c r="D322" s="349"/>
      <c r="E322" s="348"/>
      <c r="F322" s="345"/>
      <c r="G322" s="346"/>
      <c r="H322" s="348"/>
      <c r="I322" s="345"/>
      <c r="J322" s="349"/>
      <c r="K322" s="325"/>
      <c r="L322" s="325">
        <f t="shared" si="10"/>
        <v>0</v>
      </c>
      <c r="M322" s="325"/>
      <c r="N322" s="363"/>
      <c r="O322" s="363"/>
      <c r="P322" s="364"/>
    </row>
    <row r="323" ht="16.5" hidden="1" customHeight="1" spans="1:16">
      <c r="A323" s="347" t="s">
        <v>156</v>
      </c>
      <c r="B323" s="348"/>
      <c r="C323" s="348">
        <v>0</v>
      </c>
      <c r="D323" s="349"/>
      <c r="E323" s="348"/>
      <c r="F323" s="345"/>
      <c r="G323" s="346"/>
      <c r="H323" s="348"/>
      <c r="I323" s="345"/>
      <c r="J323" s="349"/>
      <c r="K323" s="325"/>
      <c r="L323" s="325">
        <f t="shared" si="10"/>
        <v>0</v>
      </c>
      <c r="M323" s="325"/>
      <c r="N323" s="363"/>
      <c r="O323" s="363"/>
      <c r="P323" s="364"/>
    </row>
    <row r="324" ht="16.5" hidden="1" customHeight="1" spans="1:16">
      <c r="A324" s="347" t="s">
        <v>195</v>
      </c>
      <c r="B324" s="348"/>
      <c r="C324" s="348">
        <v>0</v>
      </c>
      <c r="D324" s="349"/>
      <c r="E324" s="348"/>
      <c r="F324" s="345"/>
      <c r="G324" s="346"/>
      <c r="H324" s="348"/>
      <c r="I324" s="345"/>
      <c r="J324" s="349"/>
      <c r="K324" s="325"/>
      <c r="L324" s="325">
        <f t="shared" si="10"/>
        <v>0</v>
      </c>
      <c r="M324" s="325"/>
      <c r="N324" s="363"/>
      <c r="O324" s="363"/>
      <c r="P324" s="364"/>
    </row>
    <row r="325" ht="16.5" hidden="1" customHeight="1" spans="1:16">
      <c r="A325" s="347" t="s">
        <v>332</v>
      </c>
      <c r="B325" s="348"/>
      <c r="C325" s="348">
        <v>0</v>
      </c>
      <c r="D325" s="349"/>
      <c r="E325" s="348"/>
      <c r="F325" s="345"/>
      <c r="G325" s="346"/>
      <c r="H325" s="348"/>
      <c r="I325" s="345"/>
      <c r="J325" s="349"/>
      <c r="K325" s="325"/>
      <c r="L325" s="325">
        <f t="shared" si="10"/>
        <v>0</v>
      </c>
      <c r="M325" s="325"/>
      <c r="N325" s="363"/>
      <c r="O325" s="363"/>
      <c r="P325" s="364"/>
    </row>
    <row r="326" ht="16.5" hidden="1" customHeight="1" spans="1:16">
      <c r="A326" s="347" t="s">
        <v>333</v>
      </c>
      <c r="B326" s="348"/>
      <c r="C326" s="348">
        <v>0</v>
      </c>
      <c r="D326" s="349"/>
      <c r="E326" s="348"/>
      <c r="F326" s="345"/>
      <c r="G326" s="346"/>
      <c r="H326" s="348"/>
      <c r="I326" s="345"/>
      <c r="J326" s="349"/>
      <c r="K326" s="325"/>
      <c r="L326" s="325">
        <f t="shared" si="10"/>
        <v>0</v>
      </c>
      <c r="M326" s="325"/>
      <c r="N326" s="363"/>
      <c r="O326" s="363"/>
      <c r="P326" s="364"/>
    </row>
    <row r="327" s="326" customFormat="1" ht="16.5" customHeight="1" spans="1:16">
      <c r="A327" s="347" t="s">
        <v>334</v>
      </c>
      <c r="B327" s="348">
        <v>5466</v>
      </c>
      <c r="C327" s="348">
        <v>5835</v>
      </c>
      <c r="D327" s="349">
        <f>C327/B327*100</f>
        <v>106.750823271131</v>
      </c>
      <c r="E327" s="348">
        <v>5563</v>
      </c>
      <c r="F327" s="345">
        <f t="shared" ref="F327:F329" si="11">C327-E327</f>
        <v>272</v>
      </c>
      <c r="G327" s="346">
        <f>F327/E327*100</f>
        <v>4.88944813949308</v>
      </c>
      <c r="H327" s="348">
        <v>3802</v>
      </c>
      <c r="I327" s="345">
        <f t="shared" ref="I327:I329" si="12">H327-B327</f>
        <v>-1664</v>
      </c>
      <c r="J327" s="349">
        <f>I327/B327*100</f>
        <v>-30.4427369191365</v>
      </c>
      <c r="K327" s="325"/>
      <c r="L327" s="325">
        <f t="shared" si="10"/>
        <v>13792.1975344915</v>
      </c>
      <c r="M327" s="325"/>
      <c r="N327" s="363"/>
      <c r="O327" s="363"/>
      <c r="P327" s="364"/>
    </row>
    <row r="328" s="325" customFormat="1" ht="16.5" customHeight="1" spans="1:16">
      <c r="A328" s="344" t="s">
        <v>335</v>
      </c>
      <c r="B328" s="345">
        <f>B329+B334+B341+B347+B353+B357+B358+B362+B368+B375</f>
        <v>1257723</v>
      </c>
      <c r="C328" s="345">
        <f>C329+C334+C341+C347+C353+C357+C358+C362+C368+C375</f>
        <v>1313718</v>
      </c>
      <c r="D328" s="349">
        <f t="shared" ref="D328:D329" si="13">C328/B328*100</f>
        <v>104.452093187451</v>
      </c>
      <c r="E328" s="345">
        <f>E329+E334+E341+E347+E353+E357+E358+E362+E368+E375</f>
        <v>1134718</v>
      </c>
      <c r="F328" s="345">
        <f t="shared" si="11"/>
        <v>179000</v>
      </c>
      <c r="G328" s="346">
        <f t="shared" ref="G328:G329" si="14">F328/E328*100</f>
        <v>15.7748444988094</v>
      </c>
      <c r="H328" s="345">
        <f>H329+H334+H341+H347+H353+H357+H358+H362+H368+H375</f>
        <v>1294830.462919</v>
      </c>
      <c r="I328" s="345">
        <f t="shared" si="12"/>
        <v>37107.4629190003</v>
      </c>
      <c r="J328" s="349">
        <f t="shared" ref="J328:J329" si="15">I328/B328*100</f>
        <v>2.95036847692221</v>
      </c>
      <c r="L328" s="325">
        <f t="shared" ref="L328:L391" si="16">B328+C328+D328+F328+G328+H328+I328+J328</f>
        <v>4082502.10314416</v>
      </c>
      <c r="N328" s="362"/>
      <c r="O328" s="362"/>
      <c r="P328" s="364"/>
    </row>
    <row r="329" s="326" customFormat="1" ht="16.5" customHeight="1" spans="1:16">
      <c r="A329" s="347" t="s">
        <v>336</v>
      </c>
      <c r="B329" s="348">
        <v>6440</v>
      </c>
      <c r="C329" s="348">
        <v>3867</v>
      </c>
      <c r="D329" s="349">
        <f t="shared" si="13"/>
        <v>60.0465838509317</v>
      </c>
      <c r="E329" s="348">
        <v>4592</v>
      </c>
      <c r="F329" s="345">
        <f t="shared" si="11"/>
        <v>-725</v>
      </c>
      <c r="G329" s="346">
        <f t="shared" si="14"/>
        <v>-15.7883275261324</v>
      </c>
      <c r="H329" s="348">
        <f>SUM(H330:H333)</f>
        <v>10142.834263</v>
      </c>
      <c r="I329" s="345">
        <f t="shared" si="12"/>
        <v>3702.834263</v>
      </c>
      <c r="J329" s="349">
        <f t="shared" si="15"/>
        <v>57.4974264440994</v>
      </c>
      <c r="K329" s="325"/>
      <c r="L329" s="325">
        <f t="shared" si="16"/>
        <v>23529.4242087689</v>
      </c>
      <c r="M329" s="325"/>
      <c r="N329" s="363"/>
      <c r="O329" s="363"/>
      <c r="P329" s="364"/>
    </row>
    <row r="330" ht="16.5" customHeight="1" spans="1:16">
      <c r="A330" s="347" t="s">
        <v>155</v>
      </c>
      <c r="B330" s="348"/>
      <c r="C330" s="348"/>
      <c r="D330" s="349"/>
      <c r="E330" s="348"/>
      <c r="F330" s="345"/>
      <c r="G330" s="346"/>
      <c r="H330" s="348">
        <v>2130.494263</v>
      </c>
      <c r="I330" s="345"/>
      <c r="J330" s="349"/>
      <c r="K330" s="325"/>
      <c r="L330" s="325">
        <f t="shared" si="16"/>
        <v>2130.494263</v>
      </c>
      <c r="M330" s="325"/>
      <c r="N330" s="363"/>
      <c r="O330" s="363"/>
      <c r="P330" s="364"/>
    </row>
    <row r="331" ht="16.5" customHeight="1" spans="1:16">
      <c r="A331" s="347" t="s">
        <v>156</v>
      </c>
      <c r="B331" s="348"/>
      <c r="C331" s="348"/>
      <c r="D331" s="349"/>
      <c r="E331" s="348"/>
      <c r="F331" s="345"/>
      <c r="G331" s="346"/>
      <c r="H331" s="348">
        <f>1265.34+3500</f>
        <v>4765.34</v>
      </c>
      <c r="I331" s="345"/>
      <c r="J331" s="349"/>
      <c r="K331" s="325"/>
      <c r="L331" s="325">
        <f t="shared" si="16"/>
        <v>4765.34</v>
      </c>
      <c r="M331" s="325"/>
      <c r="N331" s="363"/>
      <c r="O331" s="363"/>
      <c r="P331" s="364"/>
    </row>
    <row r="332" ht="16.5" customHeight="1" spans="1:16">
      <c r="A332" s="347" t="s">
        <v>157</v>
      </c>
      <c r="B332" s="348"/>
      <c r="C332" s="348"/>
      <c r="D332" s="349"/>
      <c r="E332" s="348"/>
      <c r="F332" s="345"/>
      <c r="G332" s="346"/>
      <c r="H332" s="348">
        <v>198</v>
      </c>
      <c r="I332" s="345"/>
      <c r="J332" s="349"/>
      <c r="K332" s="325"/>
      <c r="L332" s="325">
        <f t="shared" si="16"/>
        <v>198</v>
      </c>
      <c r="M332" s="325"/>
      <c r="N332" s="363"/>
      <c r="O332" s="363"/>
      <c r="P332" s="364"/>
    </row>
    <row r="333" ht="16.5" customHeight="1" spans="1:16">
      <c r="A333" s="347" t="s">
        <v>337</v>
      </c>
      <c r="B333" s="348"/>
      <c r="C333" s="348"/>
      <c r="D333" s="349"/>
      <c r="E333" s="348"/>
      <c r="F333" s="345"/>
      <c r="G333" s="346"/>
      <c r="H333" s="348">
        <f>2449+600</f>
        <v>3049</v>
      </c>
      <c r="I333" s="345"/>
      <c r="J333" s="349"/>
      <c r="K333" s="325"/>
      <c r="L333" s="325">
        <f t="shared" si="16"/>
        <v>3049</v>
      </c>
      <c r="M333" s="325"/>
      <c r="N333" s="363"/>
      <c r="O333" s="363"/>
      <c r="P333" s="364"/>
    </row>
    <row r="334" s="326" customFormat="1" ht="16.5" customHeight="1" spans="1:16">
      <c r="A334" s="347" t="s">
        <v>338</v>
      </c>
      <c r="B334" s="348">
        <v>1161199</v>
      </c>
      <c r="C334" s="348">
        <v>1247201</v>
      </c>
      <c r="D334" s="349">
        <f>C334/B334*100</f>
        <v>107.406310201783</v>
      </c>
      <c r="E334" s="348">
        <v>1081771</v>
      </c>
      <c r="F334" s="345">
        <f>C334-E334</f>
        <v>165430</v>
      </c>
      <c r="G334" s="346">
        <f>F334/E334*100</f>
        <v>15.2925156987939</v>
      </c>
      <c r="H334" s="348">
        <f>SUM(H335:H340)</f>
        <v>1188536.817367</v>
      </c>
      <c r="I334" s="345">
        <f>H334-B334</f>
        <v>27337.817367</v>
      </c>
      <c r="J334" s="349">
        <f>I334/B334*100</f>
        <v>2.3542749663925</v>
      </c>
      <c r="K334" s="325"/>
      <c r="L334" s="325">
        <f t="shared" si="16"/>
        <v>3789829.68783487</v>
      </c>
      <c r="M334" s="325"/>
      <c r="N334" s="363"/>
      <c r="O334" s="363"/>
      <c r="P334" s="364"/>
    </row>
    <row r="335" ht="16.5" customHeight="1" spans="1:16">
      <c r="A335" s="347" t="s">
        <v>339</v>
      </c>
      <c r="B335" s="348"/>
      <c r="C335" s="348"/>
      <c r="D335" s="349"/>
      <c r="E335" s="348"/>
      <c r="F335" s="345"/>
      <c r="G335" s="346"/>
      <c r="H335" s="348">
        <f>186901.678849-3500</f>
        <v>183401.678849</v>
      </c>
      <c r="I335" s="345"/>
      <c r="J335" s="349"/>
      <c r="K335" s="325"/>
      <c r="L335" s="325">
        <f t="shared" si="16"/>
        <v>183401.678849</v>
      </c>
      <c r="M335" s="325"/>
      <c r="N335" s="363"/>
      <c r="O335" s="363"/>
      <c r="P335" s="364"/>
    </row>
    <row r="336" ht="16.5" customHeight="1" spans="1:16">
      <c r="A336" s="347" t="s">
        <v>340</v>
      </c>
      <c r="B336" s="348"/>
      <c r="C336" s="348"/>
      <c r="D336" s="349"/>
      <c r="E336" s="348"/>
      <c r="F336" s="345"/>
      <c r="G336" s="346"/>
      <c r="H336" s="348">
        <f>464855.99+25000</f>
        <v>489855.99</v>
      </c>
      <c r="I336" s="345"/>
      <c r="J336" s="349"/>
      <c r="K336" s="325"/>
      <c r="L336" s="325">
        <f t="shared" si="16"/>
        <v>489855.99</v>
      </c>
      <c r="M336" s="325"/>
      <c r="N336" s="363"/>
      <c r="O336" s="363"/>
      <c r="P336" s="364"/>
    </row>
    <row r="337" ht="16.5" customHeight="1" spans="1:16">
      <c r="A337" s="347" t="s">
        <v>341</v>
      </c>
      <c r="B337" s="348"/>
      <c r="C337" s="348"/>
      <c r="D337" s="349"/>
      <c r="E337" s="348"/>
      <c r="F337" s="345"/>
      <c r="G337" s="346"/>
      <c r="H337" s="348">
        <f>301321.150721+20000</f>
        <v>321321.150721</v>
      </c>
      <c r="I337" s="345"/>
      <c r="J337" s="349"/>
      <c r="K337" s="325"/>
      <c r="L337" s="325">
        <f t="shared" si="16"/>
        <v>321321.150721</v>
      </c>
      <c r="M337" s="325"/>
      <c r="N337" s="363"/>
      <c r="O337" s="363"/>
      <c r="P337" s="364"/>
    </row>
    <row r="338" ht="16.5" customHeight="1" spans="1:16">
      <c r="A338" s="347" t="s">
        <v>342</v>
      </c>
      <c r="B338" s="348"/>
      <c r="C338" s="348"/>
      <c r="D338" s="349"/>
      <c r="E338" s="348"/>
      <c r="F338" s="345"/>
      <c r="G338" s="346"/>
      <c r="H338" s="348">
        <v>134595.246907</v>
      </c>
      <c r="I338" s="345"/>
      <c r="J338" s="349"/>
      <c r="K338" s="325"/>
      <c r="L338" s="325">
        <f t="shared" si="16"/>
        <v>134595.246907</v>
      </c>
      <c r="M338" s="325"/>
      <c r="N338" s="363"/>
      <c r="O338" s="363"/>
      <c r="P338" s="364"/>
    </row>
    <row r="339" ht="16.5" customHeight="1" spans="1:16">
      <c r="A339" s="347" t="s">
        <v>343</v>
      </c>
      <c r="B339" s="348"/>
      <c r="C339" s="348"/>
      <c r="D339" s="349"/>
      <c r="E339" s="348"/>
      <c r="F339" s="345"/>
      <c r="G339" s="346"/>
      <c r="H339" s="348">
        <v>635</v>
      </c>
      <c r="I339" s="345"/>
      <c r="J339" s="349"/>
      <c r="K339" s="325"/>
      <c r="L339" s="325">
        <f t="shared" si="16"/>
        <v>635</v>
      </c>
      <c r="M339" s="325"/>
      <c r="N339" s="363"/>
      <c r="O339" s="363"/>
      <c r="P339" s="364"/>
    </row>
    <row r="340" ht="16.5" customHeight="1" spans="1:16">
      <c r="A340" s="347" t="s">
        <v>344</v>
      </c>
      <c r="B340" s="348"/>
      <c r="C340" s="348"/>
      <c r="D340" s="349"/>
      <c r="E340" s="348"/>
      <c r="F340" s="345"/>
      <c r="G340" s="346"/>
      <c r="H340" s="348">
        <v>58727.75089</v>
      </c>
      <c r="I340" s="345"/>
      <c r="J340" s="349"/>
      <c r="K340" s="325"/>
      <c r="L340" s="325">
        <f t="shared" si="16"/>
        <v>58727.75089</v>
      </c>
      <c r="M340" s="325"/>
      <c r="N340" s="363"/>
      <c r="O340" s="363"/>
      <c r="P340" s="364"/>
    </row>
    <row r="341" s="326" customFormat="1" ht="16.5" customHeight="1" spans="1:16">
      <c r="A341" s="347" t="s">
        <v>345</v>
      </c>
      <c r="B341" s="348">
        <v>34357</v>
      </c>
      <c r="C341" s="348">
        <v>33936</v>
      </c>
      <c r="D341" s="349">
        <f>C341/B341*100</f>
        <v>98.7746310795471</v>
      </c>
      <c r="E341" s="348">
        <v>27460</v>
      </c>
      <c r="F341" s="345">
        <f>C341-E341</f>
        <v>6476</v>
      </c>
      <c r="G341" s="346">
        <f>F341/E341*100</f>
        <v>23.5833940276766</v>
      </c>
      <c r="H341" s="348">
        <f>SUM(H342:H346)</f>
        <v>35746.367427</v>
      </c>
      <c r="I341" s="345">
        <f>H341-B341</f>
        <v>1389.367427</v>
      </c>
      <c r="J341" s="349">
        <f>I341/B341*100</f>
        <v>4.04391369153301</v>
      </c>
      <c r="K341" s="325"/>
      <c r="L341" s="325">
        <f t="shared" si="16"/>
        <v>112031.136792799</v>
      </c>
      <c r="M341" s="325"/>
      <c r="N341" s="363"/>
      <c r="O341" s="363"/>
      <c r="P341" s="364"/>
    </row>
    <row r="342" ht="16.5" customHeight="1" spans="1:16">
      <c r="A342" s="347" t="s">
        <v>346</v>
      </c>
      <c r="B342" s="348"/>
      <c r="C342" s="348">
        <v>0</v>
      </c>
      <c r="D342" s="349"/>
      <c r="E342" s="348"/>
      <c r="F342" s="345"/>
      <c r="G342" s="346"/>
      <c r="H342" s="348">
        <v>421</v>
      </c>
      <c r="I342" s="345"/>
      <c r="J342" s="349"/>
      <c r="K342" s="325"/>
      <c r="L342" s="325">
        <f t="shared" si="16"/>
        <v>421</v>
      </c>
      <c r="M342" s="325"/>
      <c r="N342" s="363"/>
      <c r="O342" s="363"/>
      <c r="P342" s="364"/>
    </row>
    <row r="343" ht="16.5" customHeight="1" spans="1:16">
      <c r="A343" s="347" t="s">
        <v>347</v>
      </c>
      <c r="B343" s="348"/>
      <c r="C343" s="348"/>
      <c r="D343" s="349"/>
      <c r="E343" s="348"/>
      <c r="F343" s="345"/>
      <c r="G343" s="346"/>
      <c r="H343" s="348">
        <f>23119.952143+2000-5300</f>
        <v>19819.952143</v>
      </c>
      <c r="I343" s="345"/>
      <c r="J343" s="349"/>
      <c r="K343" s="325"/>
      <c r="L343" s="325">
        <f t="shared" si="16"/>
        <v>19819.952143</v>
      </c>
      <c r="M343" s="325"/>
      <c r="N343" s="363"/>
      <c r="O343" s="363"/>
      <c r="P343" s="364"/>
    </row>
    <row r="344" ht="16.5" customHeight="1" spans="1:16">
      <c r="A344" s="347" t="s">
        <v>348</v>
      </c>
      <c r="B344" s="348"/>
      <c r="C344" s="348">
        <v>0</v>
      </c>
      <c r="D344" s="349"/>
      <c r="E344" s="348"/>
      <c r="F344" s="345"/>
      <c r="G344" s="346"/>
      <c r="H344" s="348">
        <v>5051.485484</v>
      </c>
      <c r="I344" s="345"/>
      <c r="J344" s="349"/>
      <c r="K344" s="325"/>
      <c r="L344" s="325">
        <f t="shared" si="16"/>
        <v>5051.485484</v>
      </c>
      <c r="M344" s="325"/>
      <c r="N344" s="363"/>
      <c r="O344" s="363"/>
      <c r="P344" s="364"/>
    </row>
    <row r="345" ht="16.5" customHeight="1" spans="1:16">
      <c r="A345" s="347" t="s">
        <v>349</v>
      </c>
      <c r="B345" s="348"/>
      <c r="C345" s="348">
        <v>0</v>
      </c>
      <c r="D345" s="349"/>
      <c r="E345" s="348"/>
      <c r="F345" s="345"/>
      <c r="G345" s="346"/>
      <c r="H345" s="348">
        <f>5123.9298+5300</f>
        <v>10423.9298</v>
      </c>
      <c r="I345" s="345"/>
      <c r="J345" s="349"/>
      <c r="K345" s="325"/>
      <c r="L345" s="325">
        <f t="shared" si="16"/>
        <v>10423.9298</v>
      </c>
      <c r="M345" s="325"/>
      <c r="N345" s="363"/>
      <c r="O345" s="363"/>
      <c r="P345" s="364"/>
    </row>
    <row r="346" ht="16.5" customHeight="1" spans="1:16">
      <c r="A346" s="347" t="s">
        <v>350</v>
      </c>
      <c r="B346" s="348"/>
      <c r="C346" s="348">
        <v>0</v>
      </c>
      <c r="D346" s="349"/>
      <c r="E346" s="348"/>
      <c r="F346" s="345"/>
      <c r="G346" s="346"/>
      <c r="H346" s="348">
        <v>30</v>
      </c>
      <c r="I346" s="345"/>
      <c r="J346" s="349"/>
      <c r="K346" s="325"/>
      <c r="L346" s="325">
        <f t="shared" si="16"/>
        <v>30</v>
      </c>
      <c r="M346" s="325"/>
      <c r="N346" s="363"/>
      <c r="O346" s="363"/>
      <c r="P346" s="364"/>
    </row>
    <row r="347" s="326" customFormat="1" ht="16.5" customHeight="1" spans="1:16">
      <c r="A347" s="347" t="s">
        <v>351</v>
      </c>
      <c r="B347" s="348">
        <v>5</v>
      </c>
      <c r="C347" s="348"/>
      <c r="D347" s="349">
        <f>C347/B347*100</f>
        <v>0</v>
      </c>
      <c r="E347" s="348">
        <v>5</v>
      </c>
      <c r="F347" s="345">
        <f>C347-E347</f>
        <v>-5</v>
      </c>
      <c r="G347" s="346">
        <f>F347/E347*100</f>
        <v>-100</v>
      </c>
      <c r="H347" s="348">
        <f>SUM(H348:H352)</f>
        <v>20</v>
      </c>
      <c r="I347" s="345">
        <f>H347-B347</f>
        <v>15</v>
      </c>
      <c r="J347" s="349">
        <f>I347/B347*100</f>
        <v>300</v>
      </c>
      <c r="K347" s="325"/>
      <c r="L347" s="325">
        <f t="shared" si="16"/>
        <v>235</v>
      </c>
      <c r="M347" s="325"/>
      <c r="N347" s="363"/>
      <c r="O347" s="363"/>
      <c r="P347" s="364"/>
    </row>
    <row r="348" s="326" customFormat="1" ht="16.5" hidden="1" customHeight="1" spans="1:16">
      <c r="A348" s="347" t="s">
        <v>352</v>
      </c>
      <c r="B348" s="348"/>
      <c r="C348" s="348">
        <v>0</v>
      </c>
      <c r="D348" s="349"/>
      <c r="E348" s="348"/>
      <c r="F348" s="345"/>
      <c r="G348" s="346"/>
      <c r="H348" s="348">
        <v>0</v>
      </c>
      <c r="I348" s="345"/>
      <c r="J348" s="349"/>
      <c r="K348" s="325"/>
      <c r="L348" s="325">
        <f t="shared" si="16"/>
        <v>0</v>
      </c>
      <c r="M348" s="325"/>
      <c r="N348" s="363"/>
      <c r="O348" s="363"/>
      <c r="P348" s="364"/>
    </row>
    <row r="349" s="326" customFormat="1" ht="16.5" hidden="1" customHeight="1" spans="1:16">
      <c r="A349" s="347" t="s">
        <v>353</v>
      </c>
      <c r="B349" s="348"/>
      <c r="C349" s="348">
        <v>0</v>
      </c>
      <c r="D349" s="349"/>
      <c r="E349" s="348"/>
      <c r="F349" s="345"/>
      <c r="G349" s="346"/>
      <c r="H349" s="348">
        <v>0</v>
      </c>
      <c r="I349" s="345"/>
      <c r="J349" s="349"/>
      <c r="K349" s="325"/>
      <c r="L349" s="325">
        <f t="shared" si="16"/>
        <v>0</v>
      </c>
      <c r="M349" s="325"/>
      <c r="N349" s="363"/>
      <c r="O349" s="363"/>
      <c r="P349" s="364"/>
    </row>
    <row r="350" s="326" customFormat="1" ht="16.5" hidden="1" customHeight="1" spans="1:16">
      <c r="A350" s="347" t="s">
        <v>354</v>
      </c>
      <c r="B350" s="348"/>
      <c r="C350" s="348">
        <v>0</v>
      </c>
      <c r="D350" s="349"/>
      <c r="E350" s="348"/>
      <c r="F350" s="345"/>
      <c r="G350" s="346"/>
      <c r="H350" s="348">
        <v>0</v>
      </c>
      <c r="I350" s="345"/>
      <c r="J350" s="349"/>
      <c r="K350" s="325"/>
      <c r="L350" s="325">
        <f t="shared" si="16"/>
        <v>0</v>
      </c>
      <c r="M350" s="325"/>
      <c r="N350" s="363"/>
      <c r="O350" s="363"/>
      <c r="P350" s="364"/>
    </row>
    <row r="351" s="326" customFormat="1" ht="16.5" hidden="1" customHeight="1" spans="1:16">
      <c r="A351" s="347" t="s">
        <v>355</v>
      </c>
      <c r="B351" s="348"/>
      <c r="C351" s="348">
        <v>0</v>
      </c>
      <c r="D351" s="349"/>
      <c r="E351" s="348"/>
      <c r="F351" s="345"/>
      <c r="G351" s="346"/>
      <c r="H351" s="348">
        <v>0</v>
      </c>
      <c r="I351" s="345"/>
      <c r="J351" s="349"/>
      <c r="K351" s="325"/>
      <c r="L351" s="325">
        <f t="shared" si="16"/>
        <v>0</v>
      </c>
      <c r="M351" s="325"/>
      <c r="N351" s="363"/>
      <c r="O351" s="363"/>
      <c r="P351" s="364"/>
    </row>
    <row r="352" s="326" customFormat="1" ht="16.5" customHeight="1" spans="1:16">
      <c r="A352" s="347" t="s">
        <v>356</v>
      </c>
      <c r="B352" s="348"/>
      <c r="C352" s="348"/>
      <c r="D352" s="349"/>
      <c r="E352" s="348"/>
      <c r="F352" s="345"/>
      <c r="G352" s="346"/>
      <c r="H352" s="348">
        <v>20</v>
      </c>
      <c r="I352" s="345"/>
      <c r="J352" s="349"/>
      <c r="K352" s="325"/>
      <c r="L352" s="325">
        <f t="shared" si="16"/>
        <v>20</v>
      </c>
      <c r="M352" s="325"/>
      <c r="N352" s="363"/>
      <c r="O352" s="363"/>
      <c r="P352" s="364"/>
    </row>
    <row r="353" s="326" customFormat="1" ht="16.5" hidden="1" customHeight="1" spans="1:16">
      <c r="A353" s="347" t="s">
        <v>357</v>
      </c>
      <c r="B353" s="348"/>
      <c r="C353" s="348">
        <v>0</v>
      </c>
      <c r="D353" s="349"/>
      <c r="E353" s="348"/>
      <c r="F353" s="345">
        <f t="shared" ref="F353:F358" si="17">C353-E353</f>
        <v>0</v>
      </c>
      <c r="G353" s="346"/>
      <c r="H353" s="348"/>
      <c r="I353" s="345">
        <f t="shared" ref="I353:I358" si="18">H353-B353</f>
        <v>0</v>
      </c>
      <c r="J353" s="349"/>
      <c r="K353" s="325"/>
      <c r="L353" s="325">
        <f t="shared" si="16"/>
        <v>0</v>
      </c>
      <c r="M353" s="325"/>
      <c r="N353" s="363"/>
      <c r="O353" s="363"/>
      <c r="P353" s="364"/>
    </row>
    <row r="354" ht="16.5" hidden="1" customHeight="1" spans="1:16">
      <c r="A354" s="347" t="s">
        <v>358</v>
      </c>
      <c r="B354" s="348"/>
      <c r="C354" s="348">
        <v>0</v>
      </c>
      <c r="D354" s="349"/>
      <c r="E354" s="348"/>
      <c r="F354" s="345"/>
      <c r="G354" s="346"/>
      <c r="H354" s="348"/>
      <c r="I354" s="345"/>
      <c r="J354" s="349"/>
      <c r="K354" s="325"/>
      <c r="L354" s="325">
        <f t="shared" si="16"/>
        <v>0</v>
      </c>
      <c r="M354" s="325"/>
      <c r="N354" s="363"/>
      <c r="O354" s="363"/>
      <c r="P354" s="364"/>
    </row>
    <row r="355" ht="16.5" hidden="1" customHeight="1" spans="1:16">
      <c r="A355" s="347" t="s">
        <v>359</v>
      </c>
      <c r="B355" s="348"/>
      <c r="C355" s="348">
        <v>0</v>
      </c>
      <c r="D355" s="349"/>
      <c r="E355" s="348"/>
      <c r="F355" s="345"/>
      <c r="G355" s="346"/>
      <c r="H355" s="348"/>
      <c r="I355" s="345"/>
      <c r="J355" s="349"/>
      <c r="K355" s="325"/>
      <c r="L355" s="325">
        <f t="shared" si="16"/>
        <v>0</v>
      </c>
      <c r="M355" s="325"/>
      <c r="N355" s="363"/>
      <c r="O355" s="363"/>
      <c r="P355" s="364"/>
    </row>
    <row r="356" ht="16.5" hidden="1" customHeight="1" spans="1:16">
      <c r="A356" s="347" t="s">
        <v>360</v>
      </c>
      <c r="B356" s="348"/>
      <c r="C356" s="348">
        <v>0</v>
      </c>
      <c r="D356" s="349"/>
      <c r="E356" s="348"/>
      <c r="F356" s="345"/>
      <c r="G356" s="346"/>
      <c r="H356" s="348"/>
      <c r="I356" s="345"/>
      <c r="J356" s="349"/>
      <c r="K356" s="325"/>
      <c r="L356" s="325">
        <f t="shared" si="16"/>
        <v>0</v>
      </c>
      <c r="M356" s="325"/>
      <c r="N356" s="363"/>
      <c r="O356" s="363"/>
      <c r="P356" s="364"/>
    </row>
    <row r="357" s="326" customFormat="1" ht="16.5" hidden="1" customHeight="1" spans="1:16">
      <c r="A357" s="347" t="s">
        <v>361</v>
      </c>
      <c r="B357" s="348"/>
      <c r="C357" s="348">
        <v>0</v>
      </c>
      <c r="D357" s="349"/>
      <c r="E357" s="348"/>
      <c r="F357" s="345">
        <f t="shared" si="17"/>
        <v>0</v>
      </c>
      <c r="G357" s="346"/>
      <c r="H357" s="348"/>
      <c r="I357" s="345">
        <f t="shared" si="18"/>
        <v>0</v>
      </c>
      <c r="J357" s="349"/>
      <c r="K357" s="325"/>
      <c r="L357" s="325">
        <f t="shared" si="16"/>
        <v>0</v>
      </c>
      <c r="M357" s="325"/>
      <c r="N357" s="363"/>
      <c r="O357" s="363"/>
      <c r="P357" s="364"/>
    </row>
    <row r="358" s="326" customFormat="1" ht="16.5" customHeight="1" spans="1:16">
      <c r="A358" s="347" t="s">
        <v>362</v>
      </c>
      <c r="B358" s="348">
        <v>4798</v>
      </c>
      <c r="C358" s="348">
        <v>5690</v>
      </c>
      <c r="D358" s="349">
        <f>C358/B358*100</f>
        <v>118.591079616507</v>
      </c>
      <c r="E358" s="348">
        <v>4459</v>
      </c>
      <c r="F358" s="345">
        <f t="shared" si="17"/>
        <v>1231</v>
      </c>
      <c r="G358" s="346">
        <f>F358/E358*100</f>
        <v>27.6070867907603</v>
      </c>
      <c r="H358" s="348">
        <f>SUM(H359:H361)</f>
        <v>5511.417762</v>
      </c>
      <c r="I358" s="345">
        <f t="shared" si="18"/>
        <v>713.417762</v>
      </c>
      <c r="J358" s="349">
        <f>I358/B358*100</f>
        <v>14.869065485619</v>
      </c>
      <c r="K358" s="325"/>
      <c r="L358" s="325">
        <f t="shared" si="16"/>
        <v>18104.9027558929</v>
      </c>
      <c r="M358" s="325"/>
      <c r="N358" s="363"/>
      <c r="O358" s="363"/>
      <c r="P358" s="364"/>
    </row>
    <row r="359" ht="16.5" customHeight="1" spans="1:16">
      <c r="A359" s="347" t="s">
        <v>363</v>
      </c>
      <c r="B359" s="348"/>
      <c r="C359" s="348"/>
      <c r="D359" s="349"/>
      <c r="E359" s="348"/>
      <c r="F359" s="345"/>
      <c r="G359" s="346"/>
      <c r="H359" s="348">
        <v>5145.417762</v>
      </c>
      <c r="I359" s="345"/>
      <c r="J359" s="349"/>
      <c r="K359" s="325"/>
      <c r="L359" s="325">
        <f t="shared" si="16"/>
        <v>5145.417762</v>
      </c>
      <c r="M359" s="325"/>
      <c r="N359" s="363"/>
      <c r="O359" s="363"/>
      <c r="P359" s="364"/>
    </row>
    <row r="360" ht="16.5" customHeight="1" spans="1:16">
      <c r="A360" s="347" t="s">
        <v>364</v>
      </c>
      <c r="B360" s="348"/>
      <c r="C360" s="348"/>
      <c r="D360" s="349"/>
      <c r="E360" s="348"/>
      <c r="F360" s="345"/>
      <c r="G360" s="346"/>
      <c r="H360" s="348">
        <v>350</v>
      </c>
      <c r="I360" s="345"/>
      <c r="J360" s="349"/>
      <c r="K360" s="325"/>
      <c r="L360" s="325">
        <f t="shared" si="16"/>
        <v>350</v>
      </c>
      <c r="M360" s="325"/>
      <c r="N360" s="363"/>
      <c r="O360" s="363"/>
      <c r="P360" s="364"/>
    </row>
    <row r="361" ht="16.5" customHeight="1" spans="1:16">
      <c r="A361" s="347" t="s">
        <v>365</v>
      </c>
      <c r="B361" s="348"/>
      <c r="C361" s="348"/>
      <c r="D361" s="349"/>
      <c r="E361" s="348"/>
      <c r="F361" s="345"/>
      <c r="G361" s="346"/>
      <c r="H361" s="348">
        <v>16</v>
      </c>
      <c r="I361" s="345"/>
      <c r="J361" s="349"/>
      <c r="K361" s="325"/>
      <c r="L361" s="325">
        <f t="shared" si="16"/>
        <v>16</v>
      </c>
      <c r="M361" s="325"/>
      <c r="N361" s="363"/>
      <c r="O361" s="363"/>
      <c r="P361" s="364"/>
    </row>
    <row r="362" s="326" customFormat="1" ht="16.5" customHeight="1" spans="1:16">
      <c r="A362" s="347" t="s">
        <v>366</v>
      </c>
      <c r="B362" s="348">
        <v>10657</v>
      </c>
      <c r="C362" s="348">
        <v>3483</v>
      </c>
      <c r="D362" s="349">
        <f>C362/B362*100</f>
        <v>32.6827437365112</v>
      </c>
      <c r="E362" s="348">
        <v>2746</v>
      </c>
      <c r="F362" s="345">
        <f>C362-E362</f>
        <v>737</v>
      </c>
      <c r="G362" s="346">
        <f>F362/E362*100</f>
        <v>26.8390386016023</v>
      </c>
      <c r="H362" s="348">
        <f>SUM(H363:H367)</f>
        <v>10100.57042</v>
      </c>
      <c r="I362" s="345">
        <f>H362-B362</f>
        <v>-556.42958</v>
      </c>
      <c r="J362" s="349">
        <f>I362/B362*100</f>
        <v>-5.22125907853993</v>
      </c>
      <c r="K362" s="325"/>
      <c r="L362" s="325">
        <f t="shared" si="16"/>
        <v>24475.4413632596</v>
      </c>
      <c r="M362" s="325"/>
      <c r="N362" s="363"/>
      <c r="O362" s="363"/>
      <c r="P362" s="364"/>
    </row>
    <row r="363" ht="16.5" customHeight="1" spans="1:16">
      <c r="A363" s="347" t="s">
        <v>367</v>
      </c>
      <c r="B363" s="348"/>
      <c r="C363" s="348"/>
      <c r="D363" s="349"/>
      <c r="E363" s="348"/>
      <c r="F363" s="345"/>
      <c r="G363" s="346"/>
      <c r="H363" s="348">
        <v>565</v>
      </c>
      <c r="I363" s="345"/>
      <c r="J363" s="349"/>
      <c r="K363" s="325"/>
      <c r="L363" s="325">
        <f t="shared" si="16"/>
        <v>565</v>
      </c>
      <c r="M363" s="325"/>
      <c r="N363" s="363"/>
      <c r="O363" s="363"/>
      <c r="P363" s="364"/>
    </row>
    <row r="364" ht="16.5" customHeight="1" spans="1:16">
      <c r="A364" s="347" t="s">
        <v>368</v>
      </c>
      <c r="B364" s="348"/>
      <c r="C364" s="348"/>
      <c r="D364" s="349"/>
      <c r="E364" s="348"/>
      <c r="F364" s="345"/>
      <c r="G364" s="346"/>
      <c r="H364" s="348">
        <v>2052.57042</v>
      </c>
      <c r="I364" s="345"/>
      <c r="J364" s="349"/>
      <c r="K364" s="325"/>
      <c r="L364" s="325">
        <f t="shared" si="16"/>
        <v>2052.57042</v>
      </c>
      <c r="M364" s="325"/>
      <c r="N364" s="363"/>
      <c r="O364" s="363"/>
      <c r="P364" s="364"/>
    </row>
    <row r="365" ht="16.5" customHeight="1" spans="1:16">
      <c r="A365" s="347" t="s">
        <v>369</v>
      </c>
      <c r="B365" s="348"/>
      <c r="C365" s="348"/>
      <c r="D365" s="349"/>
      <c r="E365" s="348"/>
      <c r="F365" s="345"/>
      <c r="G365" s="346"/>
      <c r="H365" s="348">
        <v>1363</v>
      </c>
      <c r="I365" s="345"/>
      <c r="J365" s="349"/>
      <c r="K365" s="325"/>
      <c r="L365" s="325">
        <f t="shared" si="16"/>
        <v>1363</v>
      </c>
      <c r="M365" s="325"/>
      <c r="N365" s="363"/>
      <c r="O365" s="363"/>
      <c r="P365" s="364"/>
    </row>
    <row r="366" ht="16.5" hidden="1" customHeight="1" spans="1:16">
      <c r="A366" s="347" t="s">
        <v>370</v>
      </c>
      <c r="B366" s="348"/>
      <c r="C366" s="348"/>
      <c r="D366" s="349"/>
      <c r="E366" s="348"/>
      <c r="F366" s="345"/>
      <c r="G366" s="346"/>
      <c r="H366" s="348">
        <v>0</v>
      </c>
      <c r="I366" s="345"/>
      <c r="J366" s="349"/>
      <c r="K366" s="325"/>
      <c r="L366" s="325">
        <f t="shared" si="16"/>
        <v>0</v>
      </c>
      <c r="M366" s="325"/>
      <c r="N366" s="363"/>
      <c r="O366" s="363"/>
      <c r="P366" s="364"/>
    </row>
    <row r="367" ht="16.5" customHeight="1" spans="1:16">
      <c r="A367" s="347" t="s">
        <v>371</v>
      </c>
      <c r="B367" s="348"/>
      <c r="C367" s="348"/>
      <c r="D367" s="349"/>
      <c r="E367" s="348"/>
      <c r="F367" s="345"/>
      <c r="G367" s="346"/>
      <c r="H367" s="348">
        <v>6120</v>
      </c>
      <c r="I367" s="345"/>
      <c r="J367" s="349"/>
      <c r="K367" s="325"/>
      <c r="L367" s="325">
        <f t="shared" si="16"/>
        <v>6120</v>
      </c>
      <c r="M367" s="325"/>
      <c r="N367" s="363"/>
      <c r="O367" s="363"/>
      <c r="P367" s="364"/>
    </row>
    <row r="368" s="326" customFormat="1" ht="16.5" customHeight="1" spans="1:16">
      <c r="A368" s="347" t="s">
        <v>372</v>
      </c>
      <c r="B368" s="348">
        <v>22683</v>
      </c>
      <c r="C368" s="348">
        <v>11393</v>
      </c>
      <c r="D368" s="349">
        <f>C368/B368*100</f>
        <v>50.2270422783582</v>
      </c>
      <c r="E368" s="348">
        <v>6116</v>
      </c>
      <c r="F368" s="345">
        <f>C368-E368</f>
        <v>5277</v>
      </c>
      <c r="G368" s="346">
        <f>F368/E368*100</f>
        <v>86.2818835840418</v>
      </c>
      <c r="H368" s="348">
        <f>SUM(H369:H374)</f>
        <v>16788.917943</v>
      </c>
      <c r="I368" s="345">
        <f>H368-B368</f>
        <v>-5894.082057</v>
      </c>
      <c r="J368" s="349">
        <f>I368/B368*100</f>
        <v>-25.9845790107129</v>
      </c>
      <c r="K368" s="325"/>
      <c r="L368" s="325">
        <f t="shared" si="16"/>
        <v>50358.3602328517</v>
      </c>
      <c r="M368" s="325"/>
      <c r="N368" s="363"/>
      <c r="O368" s="363"/>
      <c r="P368" s="364"/>
    </row>
    <row r="369" ht="16.5" customHeight="1" spans="1:16">
      <c r="A369" s="347" t="s">
        <v>373</v>
      </c>
      <c r="B369" s="348"/>
      <c r="C369" s="348"/>
      <c r="D369" s="349"/>
      <c r="E369" s="348"/>
      <c r="F369" s="345"/>
      <c r="G369" s="346"/>
      <c r="H369" s="348">
        <v>2927</v>
      </c>
      <c r="I369" s="345"/>
      <c r="J369" s="349"/>
      <c r="K369" s="325"/>
      <c r="L369" s="325">
        <f t="shared" si="16"/>
        <v>2927</v>
      </c>
      <c r="M369" s="325"/>
      <c r="N369" s="363"/>
      <c r="O369" s="363"/>
      <c r="P369" s="364"/>
    </row>
    <row r="370" ht="16.5" customHeight="1" spans="1:16">
      <c r="A370" s="347" t="s">
        <v>374</v>
      </c>
      <c r="B370" s="348"/>
      <c r="C370" s="348"/>
      <c r="D370" s="349"/>
      <c r="E370" s="348"/>
      <c r="F370" s="345"/>
      <c r="G370" s="346"/>
      <c r="H370" s="348">
        <v>4</v>
      </c>
      <c r="I370" s="345"/>
      <c r="J370" s="349"/>
      <c r="K370" s="325"/>
      <c r="L370" s="325">
        <f t="shared" si="16"/>
        <v>4</v>
      </c>
      <c r="M370" s="325"/>
      <c r="N370" s="363"/>
      <c r="O370" s="363"/>
      <c r="P370" s="364"/>
    </row>
    <row r="371" ht="16.5" customHeight="1" spans="1:16">
      <c r="A371" s="347" t="s">
        <v>375</v>
      </c>
      <c r="B371" s="348"/>
      <c r="C371" s="348"/>
      <c r="D371" s="349"/>
      <c r="E371" s="348"/>
      <c r="F371" s="345"/>
      <c r="G371" s="346"/>
      <c r="H371" s="348">
        <v>5000</v>
      </c>
      <c r="I371" s="345"/>
      <c r="J371" s="349"/>
      <c r="K371" s="325"/>
      <c r="L371" s="325">
        <f t="shared" si="16"/>
        <v>5000</v>
      </c>
      <c r="M371" s="325"/>
      <c r="N371" s="363"/>
      <c r="O371" s="363"/>
      <c r="P371" s="364"/>
    </row>
    <row r="372" ht="16.5" customHeight="1" spans="1:16">
      <c r="A372" s="347" t="s">
        <v>376</v>
      </c>
      <c r="B372" s="348"/>
      <c r="C372" s="348"/>
      <c r="D372" s="349"/>
      <c r="E372" s="348"/>
      <c r="F372" s="345"/>
      <c r="G372" s="346"/>
      <c r="H372" s="348">
        <v>1357.917943</v>
      </c>
      <c r="I372" s="345"/>
      <c r="J372" s="349"/>
      <c r="K372" s="325"/>
      <c r="L372" s="325">
        <f t="shared" si="16"/>
        <v>1357.917943</v>
      </c>
      <c r="M372" s="325"/>
      <c r="N372" s="363"/>
      <c r="O372" s="363"/>
      <c r="P372" s="364"/>
    </row>
    <row r="373" ht="16.5" hidden="1" customHeight="1" spans="1:16">
      <c r="A373" s="347" t="s">
        <v>377</v>
      </c>
      <c r="B373" s="348"/>
      <c r="C373" s="348"/>
      <c r="D373" s="349"/>
      <c r="E373" s="348"/>
      <c r="F373" s="345"/>
      <c r="G373" s="346"/>
      <c r="H373" s="348">
        <v>0</v>
      </c>
      <c r="I373" s="345"/>
      <c r="J373" s="349"/>
      <c r="K373" s="325"/>
      <c r="L373" s="325">
        <f t="shared" si="16"/>
        <v>0</v>
      </c>
      <c r="M373" s="325"/>
      <c r="N373" s="363"/>
      <c r="O373" s="363"/>
      <c r="P373" s="364"/>
    </row>
    <row r="374" ht="16.5" customHeight="1" spans="1:16">
      <c r="A374" s="347" t="s">
        <v>378</v>
      </c>
      <c r="B374" s="348"/>
      <c r="C374" s="348"/>
      <c r="D374" s="349"/>
      <c r="E374" s="348"/>
      <c r="F374" s="345"/>
      <c r="G374" s="346"/>
      <c r="H374" s="348">
        <f>2500+5000</f>
        <v>7500</v>
      </c>
      <c r="I374" s="345"/>
      <c r="J374" s="349"/>
      <c r="K374" s="325"/>
      <c r="L374" s="325">
        <f t="shared" si="16"/>
        <v>7500</v>
      </c>
      <c r="M374" s="325"/>
      <c r="N374" s="363"/>
      <c r="O374" s="363"/>
      <c r="P374" s="364"/>
    </row>
    <row r="375" s="326" customFormat="1" ht="16.5" customHeight="1" spans="1:16">
      <c r="A375" s="347" t="s">
        <v>379</v>
      </c>
      <c r="B375" s="348">
        <v>17584</v>
      </c>
      <c r="C375" s="348">
        <v>8148</v>
      </c>
      <c r="D375" s="349">
        <f>C375/B375*100</f>
        <v>46.3375796178344</v>
      </c>
      <c r="E375" s="348">
        <v>7569</v>
      </c>
      <c r="F375" s="345">
        <f t="shared" ref="F375:F377" si="19">C375-E375</f>
        <v>579</v>
      </c>
      <c r="G375" s="346">
        <f>F375/E375*100</f>
        <v>7.64962346413</v>
      </c>
      <c r="H375" s="348">
        <v>27983.537737</v>
      </c>
      <c r="I375" s="345">
        <f t="shared" ref="I375:I377" si="20">H375-B375</f>
        <v>10399.537737</v>
      </c>
      <c r="J375" s="349">
        <f>I375/B375*100</f>
        <v>59.142048094859</v>
      </c>
      <c r="K375" s="325"/>
      <c r="L375" s="325">
        <f t="shared" si="16"/>
        <v>64807.2047251768</v>
      </c>
      <c r="M375" s="325"/>
      <c r="N375" s="363"/>
      <c r="O375" s="363"/>
      <c r="P375" s="364"/>
    </row>
    <row r="376" s="325" customFormat="1" ht="16.5" customHeight="1" spans="1:16">
      <c r="A376" s="344" t="s">
        <v>380</v>
      </c>
      <c r="B376" s="345">
        <f>B377+B382+B391+B397+B402+B407+B412+B419+B423+B427</f>
        <v>55728</v>
      </c>
      <c r="C376" s="345">
        <f>C377+C382+C391+C397+C402+C407+C412+C419+C423+C427</f>
        <v>62080</v>
      </c>
      <c r="D376" s="349">
        <f t="shared" ref="D376:D377" si="21">C376/B376*100</f>
        <v>111.398219925352</v>
      </c>
      <c r="E376" s="345">
        <f>E377+E382+E391+E397+E402+E407+E412+E419+E423+E427</f>
        <v>63310</v>
      </c>
      <c r="F376" s="345">
        <f t="shared" si="19"/>
        <v>-1230</v>
      </c>
      <c r="G376" s="346">
        <f t="shared" ref="G376:G377" si="22">F376/E376*100</f>
        <v>-1.94282103933028</v>
      </c>
      <c r="H376" s="345">
        <f>H377+H382+H391+H397+H402+H407+H412+H419+H423+H427</f>
        <v>59228.504029</v>
      </c>
      <c r="I376" s="345">
        <f t="shared" si="20"/>
        <v>3500.504029</v>
      </c>
      <c r="J376" s="349">
        <f t="shared" ref="J376:J377" si="23">I376/B376*100</f>
        <v>6.2814097563164</v>
      </c>
      <c r="L376" s="325">
        <f t="shared" si="16"/>
        <v>179422.744866642</v>
      </c>
      <c r="N376" s="362"/>
      <c r="O376" s="362"/>
      <c r="P376" s="364"/>
    </row>
    <row r="377" s="326" customFormat="1" ht="16.5" customHeight="1" spans="1:16">
      <c r="A377" s="347" t="s">
        <v>381</v>
      </c>
      <c r="B377" s="348">
        <v>13617</v>
      </c>
      <c r="C377" s="348">
        <v>2428</v>
      </c>
      <c r="D377" s="349">
        <f t="shared" si="21"/>
        <v>17.8306528603951</v>
      </c>
      <c r="E377" s="348">
        <v>5062</v>
      </c>
      <c r="F377" s="345">
        <f t="shared" si="19"/>
        <v>-2634</v>
      </c>
      <c r="G377" s="346">
        <f t="shared" si="22"/>
        <v>-52.0347688660608</v>
      </c>
      <c r="H377" s="348">
        <f>SUM(H378:H381)</f>
        <v>13702.935641</v>
      </c>
      <c r="I377" s="345">
        <f t="shared" si="20"/>
        <v>85.935641</v>
      </c>
      <c r="J377" s="349">
        <f t="shared" si="23"/>
        <v>0.631090849673203</v>
      </c>
      <c r="K377" s="325"/>
      <c r="L377" s="325">
        <f t="shared" si="16"/>
        <v>27166.298256844</v>
      </c>
      <c r="M377" s="325"/>
      <c r="N377" s="363"/>
      <c r="O377" s="363"/>
      <c r="P377" s="364"/>
    </row>
    <row r="378" ht="16.5" customHeight="1" spans="1:16">
      <c r="A378" s="347" t="s">
        <v>155</v>
      </c>
      <c r="B378" s="348"/>
      <c r="C378" s="348"/>
      <c r="D378" s="349"/>
      <c r="E378" s="348"/>
      <c r="F378" s="345"/>
      <c r="G378" s="346"/>
      <c r="H378" s="348">
        <v>6019.935641</v>
      </c>
      <c r="I378" s="345"/>
      <c r="J378" s="349"/>
      <c r="K378" s="325"/>
      <c r="L378" s="325">
        <f t="shared" si="16"/>
        <v>6019.935641</v>
      </c>
      <c r="M378" s="325"/>
      <c r="N378" s="363"/>
      <c r="O378" s="363"/>
      <c r="P378" s="364"/>
    </row>
    <row r="379" ht="16.5" customHeight="1" spans="1:16">
      <c r="A379" s="347" t="s">
        <v>156</v>
      </c>
      <c r="B379" s="348"/>
      <c r="C379" s="348"/>
      <c r="D379" s="349"/>
      <c r="E379" s="348"/>
      <c r="F379" s="345"/>
      <c r="G379" s="346"/>
      <c r="H379" s="348">
        <v>3</v>
      </c>
      <c r="I379" s="345"/>
      <c r="J379" s="349"/>
      <c r="K379" s="325"/>
      <c r="L379" s="325">
        <f t="shared" si="16"/>
        <v>3</v>
      </c>
      <c r="M379" s="325"/>
      <c r="N379" s="363"/>
      <c r="O379" s="363"/>
      <c r="P379" s="364"/>
    </row>
    <row r="380" ht="16.5" hidden="1" customHeight="1" spans="1:16">
      <c r="A380" s="347" t="s">
        <v>157</v>
      </c>
      <c r="B380" s="348"/>
      <c r="C380" s="348"/>
      <c r="D380" s="349"/>
      <c r="E380" s="348"/>
      <c r="F380" s="345"/>
      <c r="G380" s="346"/>
      <c r="H380" s="348">
        <v>0</v>
      </c>
      <c r="I380" s="345"/>
      <c r="J380" s="349"/>
      <c r="K380" s="325"/>
      <c r="L380" s="325">
        <f t="shared" si="16"/>
        <v>0</v>
      </c>
      <c r="M380" s="325"/>
      <c r="N380" s="363"/>
      <c r="O380" s="363"/>
      <c r="P380" s="364"/>
    </row>
    <row r="381" ht="16.5" customHeight="1" spans="1:16">
      <c r="A381" s="347" t="s">
        <v>382</v>
      </c>
      <c r="B381" s="348"/>
      <c r="C381" s="348"/>
      <c r="D381" s="349"/>
      <c r="E381" s="348"/>
      <c r="F381" s="345"/>
      <c r="G381" s="346"/>
      <c r="H381" s="348">
        <v>7680</v>
      </c>
      <c r="I381" s="345"/>
      <c r="J381" s="349"/>
      <c r="K381" s="325"/>
      <c r="L381" s="325">
        <f t="shared" si="16"/>
        <v>7680</v>
      </c>
      <c r="M381" s="325"/>
      <c r="N381" s="363"/>
      <c r="O381" s="363"/>
      <c r="P381" s="364"/>
    </row>
    <row r="382" s="326" customFormat="1" ht="16.5" customHeight="1" spans="1:16">
      <c r="A382" s="347" t="s">
        <v>383</v>
      </c>
      <c r="B382" s="348">
        <v>12</v>
      </c>
      <c r="C382" s="348">
        <v>12</v>
      </c>
      <c r="D382" s="349">
        <f>C382/B382*100</f>
        <v>100</v>
      </c>
      <c r="E382" s="348"/>
      <c r="F382" s="345">
        <f>C382-E382</f>
        <v>12</v>
      </c>
      <c r="G382" s="346"/>
      <c r="H382" s="348">
        <f>SUM(H383:H390)</f>
        <v>12</v>
      </c>
      <c r="I382" s="345">
        <f>H382-B382</f>
        <v>0</v>
      </c>
      <c r="J382" s="349">
        <f>I382/B382*100</f>
        <v>0</v>
      </c>
      <c r="K382" s="325"/>
      <c r="L382" s="325">
        <f t="shared" si="16"/>
        <v>148</v>
      </c>
      <c r="M382" s="325"/>
      <c r="N382" s="363"/>
      <c r="O382" s="363"/>
      <c r="P382" s="364"/>
    </row>
    <row r="383" ht="16.5" customHeight="1" spans="1:16">
      <c r="A383" s="347" t="s">
        <v>384</v>
      </c>
      <c r="B383" s="348"/>
      <c r="C383" s="348"/>
      <c r="D383" s="349"/>
      <c r="E383" s="348"/>
      <c r="F383" s="345"/>
      <c r="G383" s="346"/>
      <c r="H383" s="348">
        <v>12</v>
      </c>
      <c r="I383" s="345"/>
      <c r="J383" s="349"/>
      <c r="K383" s="325"/>
      <c r="L383" s="325">
        <f t="shared" si="16"/>
        <v>12</v>
      </c>
      <c r="M383" s="325"/>
      <c r="N383" s="363"/>
      <c r="O383" s="363"/>
      <c r="P383" s="364"/>
    </row>
    <row r="384" ht="16.5" hidden="1" customHeight="1" spans="1:16">
      <c r="A384" s="347" t="s">
        <v>385</v>
      </c>
      <c r="B384" s="348"/>
      <c r="C384" s="348">
        <v>0</v>
      </c>
      <c r="D384" s="349"/>
      <c r="E384" s="348"/>
      <c r="F384" s="345"/>
      <c r="G384" s="346"/>
      <c r="H384" s="348">
        <v>0</v>
      </c>
      <c r="I384" s="345"/>
      <c r="J384" s="349"/>
      <c r="K384" s="325"/>
      <c r="L384" s="325">
        <f t="shared" si="16"/>
        <v>0</v>
      </c>
      <c r="M384" s="325"/>
      <c r="N384" s="363"/>
      <c r="O384" s="363"/>
      <c r="P384" s="364"/>
    </row>
    <row r="385" ht="16.5" hidden="1" customHeight="1" spans="1:16">
      <c r="A385" s="347" t="s">
        <v>386</v>
      </c>
      <c r="B385" s="348"/>
      <c r="C385" s="348">
        <v>0</v>
      </c>
      <c r="D385" s="349"/>
      <c r="E385" s="348"/>
      <c r="F385" s="345"/>
      <c r="G385" s="346"/>
      <c r="H385" s="348">
        <v>0</v>
      </c>
      <c r="I385" s="345"/>
      <c r="J385" s="349"/>
      <c r="K385" s="325"/>
      <c r="L385" s="325">
        <f t="shared" si="16"/>
        <v>0</v>
      </c>
      <c r="M385" s="325"/>
      <c r="N385" s="363"/>
      <c r="O385" s="363"/>
      <c r="P385" s="364"/>
    </row>
    <row r="386" ht="16.5" hidden="1" customHeight="1" spans="1:16">
      <c r="A386" s="347" t="s">
        <v>387</v>
      </c>
      <c r="B386" s="348"/>
      <c r="C386" s="348">
        <v>0</v>
      </c>
      <c r="D386" s="349"/>
      <c r="E386" s="348"/>
      <c r="F386" s="345"/>
      <c r="G386" s="346"/>
      <c r="H386" s="348">
        <v>0</v>
      </c>
      <c r="I386" s="345"/>
      <c r="J386" s="349"/>
      <c r="K386" s="325"/>
      <c r="L386" s="325">
        <f t="shared" si="16"/>
        <v>0</v>
      </c>
      <c r="M386" s="325"/>
      <c r="N386" s="363"/>
      <c r="O386" s="363"/>
      <c r="P386" s="364"/>
    </row>
    <row r="387" ht="16.5" hidden="1" customHeight="1" spans="1:16">
      <c r="A387" s="347" t="s">
        <v>388</v>
      </c>
      <c r="B387" s="348"/>
      <c r="C387" s="348">
        <v>0</v>
      </c>
      <c r="D387" s="349"/>
      <c r="E387" s="348"/>
      <c r="F387" s="345"/>
      <c r="G387" s="346"/>
      <c r="H387" s="348">
        <v>0</v>
      </c>
      <c r="I387" s="345"/>
      <c r="J387" s="349"/>
      <c r="K387" s="325"/>
      <c r="L387" s="325">
        <f t="shared" si="16"/>
        <v>0</v>
      </c>
      <c r="M387" s="325"/>
      <c r="N387" s="363"/>
      <c r="O387" s="363"/>
      <c r="P387" s="364"/>
    </row>
    <row r="388" ht="16.5" hidden="1" customHeight="1" spans="1:16">
      <c r="A388" s="347" t="s">
        <v>389</v>
      </c>
      <c r="B388" s="348"/>
      <c r="C388" s="348">
        <v>0</v>
      </c>
      <c r="D388" s="349"/>
      <c r="E388" s="348"/>
      <c r="F388" s="345"/>
      <c r="G388" s="346"/>
      <c r="H388" s="348">
        <v>0</v>
      </c>
      <c r="I388" s="345"/>
      <c r="J388" s="349"/>
      <c r="K388" s="325"/>
      <c r="L388" s="325">
        <f t="shared" si="16"/>
        <v>0</v>
      </c>
      <c r="M388" s="325"/>
      <c r="N388" s="363"/>
      <c r="O388" s="363"/>
      <c r="P388" s="364"/>
    </row>
    <row r="389" ht="16.5" hidden="1" customHeight="1" spans="1:16">
      <c r="A389" s="347" t="s">
        <v>390</v>
      </c>
      <c r="B389" s="348"/>
      <c r="C389" s="348">
        <v>0</v>
      </c>
      <c r="D389" s="349"/>
      <c r="E389" s="348"/>
      <c r="F389" s="345"/>
      <c r="G389" s="346"/>
      <c r="H389" s="348">
        <v>0</v>
      </c>
      <c r="I389" s="345"/>
      <c r="J389" s="349"/>
      <c r="K389" s="325"/>
      <c r="L389" s="325">
        <f t="shared" si="16"/>
        <v>0</v>
      </c>
      <c r="M389" s="325"/>
      <c r="N389" s="363"/>
      <c r="O389" s="363"/>
      <c r="P389" s="364"/>
    </row>
    <row r="390" ht="16.5" hidden="1" customHeight="1" spans="1:16">
      <c r="A390" s="347" t="s">
        <v>391</v>
      </c>
      <c r="B390" s="348"/>
      <c r="C390" s="348">
        <v>0</v>
      </c>
      <c r="D390" s="349"/>
      <c r="E390" s="348"/>
      <c r="F390" s="345"/>
      <c r="G390" s="346"/>
      <c r="H390" s="348">
        <v>0</v>
      </c>
      <c r="I390" s="345"/>
      <c r="J390" s="349"/>
      <c r="K390" s="325"/>
      <c r="L390" s="325">
        <f t="shared" si="16"/>
        <v>0</v>
      </c>
      <c r="M390" s="325"/>
      <c r="N390" s="363"/>
      <c r="O390" s="363"/>
      <c r="P390" s="364"/>
    </row>
    <row r="391" s="326" customFormat="1" ht="16.5" customHeight="1" spans="1:16">
      <c r="A391" s="347" t="s">
        <v>392</v>
      </c>
      <c r="B391" s="348">
        <v>250</v>
      </c>
      <c r="C391" s="348">
        <v>353</v>
      </c>
      <c r="D391" s="349">
        <f>C391/B391*100</f>
        <v>141.2</v>
      </c>
      <c r="E391" s="348">
        <v>297</v>
      </c>
      <c r="F391" s="345">
        <f>C391-E391</f>
        <v>56</v>
      </c>
      <c r="G391" s="346">
        <f>F391/E391*100</f>
        <v>18.8552188552189</v>
      </c>
      <c r="H391" s="348">
        <f>SUM(H392:H396)</f>
        <v>410</v>
      </c>
      <c r="I391" s="345">
        <f>H391-B391</f>
        <v>160</v>
      </c>
      <c r="J391" s="349">
        <f>I391/B391*100</f>
        <v>64</v>
      </c>
      <c r="K391" s="325"/>
      <c r="L391" s="325">
        <f t="shared" si="16"/>
        <v>1453.05521885522</v>
      </c>
      <c r="M391" s="325"/>
      <c r="N391" s="363"/>
      <c r="O391" s="363"/>
      <c r="P391" s="364"/>
    </row>
    <row r="392" ht="16.5" customHeight="1" spans="1:16">
      <c r="A392" s="347" t="s">
        <v>384</v>
      </c>
      <c r="B392" s="348"/>
      <c r="C392" s="348"/>
      <c r="D392" s="349"/>
      <c r="E392" s="348"/>
      <c r="F392" s="345"/>
      <c r="G392" s="346"/>
      <c r="H392" s="348">
        <v>400</v>
      </c>
      <c r="I392" s="345"/>
      <c r="J392" s="349"/>
      <c r="K392" s="325"/>
      <c r="L392" s="325">
        <f t="shared" ref="L392:L455" si="24">B392+C392+D392+F392+G392+H392+I392+J392</f>
        <v>400</v>
      </c>
      <c r="M392" s="325"/>
      <c r="N392" s="363"/>
      <c r="O392" s="363"/>
      <c r="P392" s="364"/>
    </row>
    <row r="393" ht="16.5" customHeight="1" spans="1:16">
      <c r="A393" s="347" t="s">
        <v>393</v>
      </c>
      <c r="B393" s="348"/>
      <c r="C393" s="348">
        <v>0</v>
      </c>
      <c r="D393" s="349"/>
      <c r="E393" s="348"/>
      <c r="F393" s="345"/>
      <c r="G393" s="346"/>
      <c r="H393" s="348">
        <v>10</v>
      </c>
      <c r="I393" s="345"/>
      <c r="J393" s="349"/>
      <c r="K393" s="325"/>
      <c r="L393" s="325">
        <f t="shared" si="24"/>
        <v>10</v>
      </c>
      <c r="M393" s="325"/>
      <c r="N393" s="363"/>
      <c r="O393" s="363"/>
      <c r="P393" s="364"/>
    </row>
    <row r="394" ht="16.5" hidden="1" customHeight="1" spans="1:16">
      <c r="A394" s="347" t="s">
        <v>394</v>
      </c>
      <c r="B394" s="348"/>
      <c r="C394" s="348">
        <v>0</v>
      </c>
      <c r="D394" s="349"/>
      <c r="E394" s="348"/>
      <c r="F394" s="345"/>
      <c r="G394" s="346"/>
      <c r="H394" s="348">
        <v>0</v>
      </c>
      <c r="I394" s="345"/>
      <c r="J394" s="349"/>
      <c r="K394" s="325"/>
      <c r="L394" s="325">
        <f t="shared" si="24"/>
        <v>0</v>
      </c>
      <c r="M394" s="325"/>
      <c r="N394" s="363"/>
      <c r="O394" s="363"/>
      <c r="P394" s="364"/>
    </row>
    <row r="395" ht="16.5" hidden="1" customHeight="1" spans="1:16">
      <c r="A395" s="347" t="s">
        <v>395</v>
      </c>
      <c r="B395" s="348"/>
      <c r="C395" s="348">
        <v>0</v>
      </c>
      <c r="D395" s="349"/>
      <c r="E395" s="348"/>
      <c r="F395" s="345"/>
      <c r="G395" s="346"/>
      <c r="H395" s="348">
        <v>0</v>
      </c>
      <c r="I395" s="345"/>
      <c r="J395" s="349"/>
      <c r="K395" s="325"/>
      <c r="L395" s="325">
        <f t="shared" si="24"/>
        <v>0</v>
      </c>
      <c r="M395" s="325"/>
      <c r="N395" s="363"/>
      <c r="O395" s="363"/>
      <c r="P395" s="364"/>
    </row>
    <row r="396" ht="16.5" hidden="1" customHeight="1" spans="1:16">
      <c r="A396" s="347" t="s">
        <v>396</v>
      </c>
      <c r="B396" s="348"/>
      <c r="C396" s="348">
        <v>0</v>
      </c>
      <c r="D396" s="349"/>
      <c r="E396" s="348"/>
      <c r="F396" s="345"/>
      <c r="G396" s="346"/>
      <c r="H396" s="348">
        <v>0</v>
      </c>
      <c r="I396" s="345"/>
      <c r="J396" s="349"/>
      <c r="K396" s="325"/>
      <c r="L396" s="325">
        <f t="shared" si="24"/>
        <v>0</v>
      </c>
      <c r="M396" s="325"/>
      <c r="N396" s="363"/>
      <c r="O396" s="363"/>
      <c r="P396" s="364"/>
    </row>
    <row r="397" s="326" customFormat="1" ht="16.5" customHeight="1" spans="1:16">
      <c r="A397" s="347" t="s">
        <v>397</v>
      </c>
      <c r="B397" s="348">
        <v>6775</v>
      </c>
      <c r="C397" s="348">
        <v>11926</v>
      </c>
      <c r="D397" s="349">
        <f>C397/B397*100</f>
        <v>176.029520295203</v>
      </c>
      <c r="E397" s="348">
        <v>5874</v>
      </c>
      <c r="F397" s="345">
        <f>C397-E397</f>
        <v>6052</v>
      </c>
      <c r="G397" s="346">
        <f>F397/E397*100</f>
        <v>103.030303030303</v>
      </c>
      <c r="H397" s="348">
        <f>SUM(H398:H401)</f>
        <v>7009</v>
      </c>
      <c r="I397" s="345">
        <f>H397-B397</f>
        <v>234</v>
      </c>
      <c r="J397" s="349">
        <f>I397/B397*100</f>
        <v>3.45387453874539</v>
      </c>
      <c r="K397" s="325"/>
      <c r="L397" s="325">
        <f t="shared" si="24"/>
        <v>32278.5136978643</v>
      </c>
      <c r="M397" s="325"/>
      <c r="N397" s="363"/>
      <c r="O397" s="363"/>
      <c r="P397" s="364"/>
    </row>
    <row r="398" ht="16.5" hidden="1" customHeight="1" spans="1:16">
      <c r="A398" s="347" t="s">
        <v>384</v>
      </c>
      <c r="B398" s="348"/>
      <c r="C398" s="348"/>
      <c r="D398" s="349"/>
      <c r="E398" s="348"/>
      <c r="F398" s="345"/>
      <c r="G398" s="346"/>
      <c r="H398" s="348">
        <v>0</v>
      </c>
      <c r="I398" s="345"/>
      <c r="J398" s="349"/>
      <c r="K398" s="325"/>
      <c r="L398" s="325">
        <f t="shared" si="24"/>
        <v>0</v>
      </c>
      <c r="M398" s="325"/>
      <c r="N398" s="363"/>
      <c r="O398" s="363"/>
      <c r="P398" s="364"/>
    </row>
    <row r="399" ht="16.5" customHeight="1" spans="1:16">
      <c r="A399" s="347" t="s">
        <v>398</v>
      </c>
      <c r="B399" s="348"/>
      <c r="C399" s="348"/>
      <c r="D399" s="349"/>
      <c r="E399" s="348"/>
      <c r="F399" s="345"/>
      <c r="G399" s="346"/>
      <c r="H399" s="348">
        <v>15</v>
      </c>
      <c r="I399" s="345"/>
      <c r="J399" s="349"/>
      <c r="K399" s="325"/>
      <c r="L399" s="325">
        <f t="shared" si="24"/>
        <v>15</v>
      </c>
      <c r="M399" s="325"/>
      <c r="N399" s="363"/>
      <c r="O399" s="363"/>
      <c r="P399" s="364"/>
    </row>
    <row r="400" ht="16.5" customHeight="1" spans="1:16">
      <c r="A400" s="347" t="s">
        <v>399</v>
      </c>
      <c r="B400" s="348"/>
      <c r="C400" s="348"/>
      <c r="D400" s="349"/>
      <c r="E400" s="348"/>
      <c r="F400" s="345"/>
      <c r="G400" s="346"/>
      <c r="H400" s="348">
        <v>2000</v>
      </c>
      <c r="I400" s="345"/>
      <c r="J400" s="349"/>
      <c r="K400" s="325"/>
      <c r="L400" s="325">
        <f t="shared" si="24"/>
        <v>2000</v>
      </c>
      <c r="M400" s="325"/>
      <c r="N400" s="363"/>
      <c r="O400" s="363"/>
      <c r="P400" s="364"/>
    </row>
    <row r="401" ht="16.5" customHeight="1" spans="1:16">
      <c r="A401" s="347" t="s">
        <v>400</v>
      </c>
      <c r="B401" s="348"/>
      <c r="C401" s="348"/>
      <c r="D401" s="349"/>
      <c r="E401" s="348"/>
      <c r="F401" s="345"/>
      <c r="G401" s="346"/>
      <c r="H401" s="348">
        <v>4994</v>
      </c>
      <c r="I401" s="345"/>
      <c r="J401" s="349"/>
      <c r="K401" s="325"/>
      <c r="L401" s="325">
        <f t="shared" si="24"/>
        <v>4994</v>
      </c>
      <c r="M401" s="325"/>
      <c r="N401" s="363"/>
      <c r="O401" s="363"/>
      <c r="P401" s="364"/>
    </row>
    <row r="402" s="326" customFormat="1" ht="16.5" customHeight="1" spans="1:16">
      <c r="A402" s="347" t="s">
        <v>401</v>
      </c>
      <c r="B402" s="348">
        <v>78</v>
      </c>
      <c r="C402" s="348">
        <v>123</v>
      </c>
      <c r="D402" s="349">
        <f>C402/B402*100</f>
        <v>157.692307692308</v>
      </c>
      <c r="E402" s="348">
        <v>155</v>
      </c>
      <c r="F402" s="345">
        <f>C402-E402</f>
        <v>-32</v>
      </c>
      <c r="G402" s="346">
        <f>F402/E402*100</f>
        <v>-20.6451612903226</v>
      </c>
      <c r="H402" s="348">
        <f>SUM(H403:H406)</f>
        <v>221</v>
      </c>
      <c r="I402" s="345">
        <f>H402-B402</f>
        <v>143</v>
      </c>
      <c r="J402" s="349">
        <f>I402/B402*100</f>
        <v>183.333333333333</v>
      </c>
      <c r="K402" s="325"/>
      <c r="L402" s="325">
        <f t="shared" si="24"/>
        <v>853.380479735318</v>
      </c>
      <c r="M402" s="325"/>
      <c r="N402" s="363"/>
      <c r="O402" s="363"/>
      <c r="P402" s="364"/>
    </row>
    <row r="403" ht="16.5" customHeight="1" spans="1:16">
      <c r="A403" s="347" t="s">
        <v>384</v>
      </c>
      <c r="B403" s="348"/>
      <c r="C403" s="348"/>
      <c r="D403" s="349"/>
      <c r="E403" s="348"/>
      <c r="F403" s="345"/>
      <c r="G403" s="346"/>
      <c r="H403" s="348">
        <v>221</v>
      </c>
      <c r="I403" s="345"/>
      <c r="J403" s="349"/>
      <c r="K403" s="325"/>
      <c r="L403" s="325">
        <f t="shared" si="24"/>
        <v>221</v>
      </c>
      <c r="M403" s="325"/>
      <c r="N403" s="363"/>
      <c r="O403" s="363"/>
      <c r="P403" s="364"/>
    </row>
    <row r="404" ht="16.5" hidden="1" customHeight="1" spans="1:16">
      <c r="A404" s="347" t="s">
        <v>402</v>
      </c>
      <c r="B404" s="348"/>
      <c r="C404" s="348">
        <v>0</v>
      </c>
      <c r="D404" s="349"/>
      <c r="E404" s="348"/>
      <c r="F404" s="345"/>
      <c r="G404" s="346"/>
      <c r="H404" s="348">
        <v>0</v>
      </c>
      <c r="I404" s="345"/>
      <c r="J404" s="349"/>
      <c r="K404" s="325"/>
      <c r="L404" s="325">
        <f t="shared" si="24"/>
        <v>0</v>
      </c>
      <c r="M404" s="325"/>
      <c r="N404" s="363"/>
      <c r="O404" s="363"/>
      <c r="P404" s="364"/>
    </row>
    <row r="405" ht="16.5" hidden="1" customHeight="1" spans="1:16">
      <c r="A405" s="347" t="s">
        <v>403</v>
      </c>
      <c r="B405" s="348"/>
      <c r="C405" s="348">
        <v>0</v>
      </c>
      <c r="D405" s="349"/>
      <c r="E405" s="348"/>
      <c r="F405" s="345"/>
      <c r="G405" s="346"/>
      <c r="H405" s="348">
        <v>0</v>
      </c>
      <c r="I405" s="345"/>
      <c r="J405" s="349"/>
      <c r="K405" s="325"/>
      <c r="L405" s="325">
        <f t="shared" si="24"/>
        <v>0</v>
      </c>
      <c r="M405" s="325"/>
      <c r="N405" s="363"/>
      <c r="O405" s="363"/>
      <c r="P405" s="364"/>
    </row>
    <row r="406" ht="16.5" hidden="1" customHeight="1" spans="1:16">
      <c r="A406" s="347" t="s">
        <v>404</v>
      </c>
      <c r="B406" s="348"/>
      <c r="C406" s="348">
        <v>0</v>
      </c>
      <c r="D406" s="349"/>
      <c r="E406" s="348"/>
      <c r="F406" s="345"/>
      <c r="G406" s="346"/>
      <c r="H406" s="348">
        <v>0</v>
      </c>
      <c r="I406" s="345"/>
      <c r="J406" s="349"/>
      <c r="K406" s="325"/>
      <c r="L406" s="325">
        <f t="shared" si="24"/>
        <v>0</v>
      </c>
      <c r="M406" s="325"/>
      <c r="N406" s="363"/>
      <c r="O406" s="363"/>
      <c r="P406" s="364"/>
    </row>
    <row r="407" s="326" customFormat="1" ht="16.5" customHeight="1" spans="1:16">
      <c r="A407" s="347" t="s">
        <v>405</v>
      </c>
      <c r="B407" s="348"/>
      <c r="C407" s="348">
        <v>29</v>
      </c>
      <c r="D407" s="349"/>
      <c r="E407" s="348">
        <v>4</v>
      </c>
      <c r="F407" s="345">
        <f>C407-E407</f>
        <v>25</v>
      </c>
      <c r="G407" s="346">
        <f>F407/E407*100</f>
        <v>625</v>
      </c>
      <c r="H407" s="348">
        <f>SUM(H408:H411)</f>
        <v>3297</v>
      </c>
      <c r="I407" s="345">
        <f>H407-B407</f>
        <v>3297</v>
      </c>
      <c r="J407" s="349"/>
      <c r="K407" s="325"/>
      <c r="L407" s="325">
        <f t="shared" si="24"/>
        <v>7273</v>
      </c>
      <c r="M407" s="325"/>
      <c r="N407" s="363"/>
      <c r="O407" s="363"/>
      <c r="P407" s="364"/>
    </row>
    <row r="408" ht="16.5" hidden="1" customHeight="1" spans="1:16">
      <c r="A408" s="347" t="s">
        <v>406</v>
      </c>
      <c r="B408" s="348"/>
      <c r="C408" s="348">
        <v>0</v>
      </c>
      <c r="D408" s="349"/>
      <c r="E408" s="348"/>
      <c r="F408" s="345"/>
      <c r="G408" s="346"/>
      <c r="H408" s="348">
        <v>0</v>
      </c>
      <c r="I408" s="345"/>
      <c r="J408" s="349"/>
      <c r="K408" s="325"/>
      <c r="L408" s="325">
        <f t="shared" si="24"/>
        <v>0</v>
      </c>
      <c r="M408" s="325"/>
      <c r="N408" s="363"/>
      <c r="O408" s="363"/>
      <c r="P408" s="364"/>
    </row>
    <row r="409" ht="16.5" hidden="1" customHeight="1" spans="1:16">
      <c r="A409" s="347" t="s">
        <v>407</v>
      </c>
      <c r="B409" s="348"/>
      <c r="C409" s="348">
        <v>0</v>
      </c>
      <c r="D409" s="349"/>
      <c r="E409" s="348"/>
      <c r="F409" s="345"/>
      <c r="G409" s="346"/>
      <c r="H409" s="348">
        <v>0</v>
      </c>
      <c r="I409" s="345"/>
      <c r="J409" s="349"/>
      <c r="K409" s="325"/>
      <c r="L409" s="325">
        <f t="shared" si="24"/>
        <v>0</v>
      </c>
      <c r="M409" s="325"/>
      <c r="N409" s="363"/>
      <c r="O409" s="363"/>
      <c r="P409" s="364"/>
    </row>
    <row r="410" ht="16.5" hidden="1" customHeight="1" spans="1:16">
      <c r="A410" s="347" t="s">
        <v>408</v>
      </c>
      <c r="B410" s="348"/>
      <c r="C410" s="348">
        <v>0</v>
      </c>
      <c r="D410" s="349"/>
      <c r="E410" s="348"/>
      <c r="F410" s="345"/>
      <c r="G410" s="346"/>
      <c r="H410" s="348">
        <v>0</v>
      </c>
      <c r="I410" s="345"/>
      <c r="J410" s="349"/>
      <c r="K410" s="325"/>
      <c r="L410" s="325">
        <f t="shared" si="24"/>
        <v>0</v>
      </c>
      <c r="M410" s="325"/>
      <c r="N410" s="363"/>
      <c r="O410" s="363"/>
      <c r="P410" s="364"/>
    </row>
    <row r="411" ht="16.5" customHeight="1" spans="1:16">
      <c r="A411" s="347" t="s">
        <v>409</v>
      </c>
      <c r="B411" s="348"/>
      <c r="C411" s="348">
        <v>0</v>
      </c>
      <c r="D411" s="349"/>
      <c r="E411" s="348"/>
      <c r="F411" s="345"/>
      <c r="G411" s="346"/>
      <c r="H411" s="348">
        <v>3297</v>
      </c>
      <c r="I411" s="345"/>
      <c r="J411" s="349"/>
      <c r="K411" s="325"/>
      <c r="L411" s="325">
        <f t="shared" si="24"/>
        <v>3297</v>
      </c>
      <c r="M411" s="325"/>
      <c r="N411" s="363"/>
      <c r="O411" s="363"/>
      <c r="P411" s="364"/>
    </row>
    <row r="412" s="326" customFormat="1" ht="16.5" customHeight="1" spans="1:16">
      <c r="A412" s="347" t="s">
        <v>410</v>
      </c>
      <c r="B412" s="348">
        <v>366</v>
      </c>
      <c r="C412" s="348">
        <v>2189</v>
      </c>
      <c r="D412" s="349">
        <f>C412/B412*100</f>
        <v>598.087431693989</v>
      </c>
      <c r="E412" s="348">
        <v>862</v>
      </c>
      <c r="F412" s="345">
        <f>C412-E412</f>
        <v>1327</v>
      </c>
      <c r="G412" s="346">
        <f>F412/E412*100</f>
        <v>153.944315545244</v>
      </c>
      <c r="H412" s="348">
        <f>SUM(H413:H418)</f>
        <v>654.756608</v>
      </c>
      <c r="I412" s="345">
        <f>H412-B412</f>
        <v>288.756608</v>
      </c>
      <c r="J412" s="349">
        <f>I412/B412*100</f>
        <v>78.8952480874317</v>
      </c>
      <c r="K412" s="325"/>
      <c r="L412" s="325">
        <f t="shared" si="24"/>
        <v>5656.44021132666</v>
      </c>
      <c r="M412" s="325"/>
      <c r="N412" s="363"/>
      <c r="O412" s="363"/>
      <c r="P412" s="364"/>
    </row>
    <row r="413" ht="16.5" customHeight="1" spans="1:16">
      <c r="A413" s="347" t="s">
        <v>384</v>
      </c>
      <c r="B413" s="348"/>
      <c r="C413" s="348"/>
      <c r="D413" s="349"/>
      <c r="E413" s="348"/>
      <c r="F413" s="345"/>
      <c r="G413" s="346"/>
      <c r="H413" s="348">
        <f>217-150</f>
        <v>67</v>
      </c>
      <c r="I413" s="345"/>
      <c r="J413" s="349"/>
      <c r="K413" s="325"/>
      <c r="L413" s="325">
        <f t="shared" si="24"/>
        <v>67</v>
      </c>
      <c r="M413" s="325"/>
      <c r="N413" s="363"/>
      <c r="O413" s="363"/>
      <c r="P413" s="364"/>
    </row>
    <row r="414" ht="16.5" customHeight="1" spans="1:16">
      <c r="A414" s="347" t="s">
        <v>411</v>
      </c>
      <c r="B414" s="348"/>
      <c r="C414" s="348"/>
      <c r="D414" s="349"/>
      <c r="E414" s="348"/>
      <c r="F414" s="345"/>
      <c r="G414" s="346"/>
      <c r="H414" s="348">
        <v>50</v>
      </c>
      <c r="I414" s="345"/>
      <c r="J414" s="349"/>
      <c r="K414" s="325"/>
      <c r="L414" s="325">
        <f t="shared" si="24"/>
        <v>50</v>
      </c>
      <c r="M414" s="325"/>
      <c r="N414" s="363"/>
      <c r="O414" s="363"/>
      <c r="P414" s="364"/>
    </row>
    <row r="415" ht="16.5" hidden="1" customHeight="1" spans="1:16">
      <c r="A415" s="347" t="s">
        <v>412</v>
      </c>
      <c r="B415" s="348"/>
      <c r="C415" s="348"/>
      <c r="D415" s="349"/>
      <c r="E415" s="348"/>
      <c r="F415" s="345"/>
      <c r="G415" s="346"/>
      <c r="H415" s="348">
        <v>0</v>
      </c>
      <c r="I415" s="345"/>
      <c r="J415" s="349"/>
      <c r="K415" s="325"/>
      <c r="L415" s="325">
        <f t="shared" si="24"/>
        <v>0</v>
      </c>
      <c r="M415" s="325"/>
      <c r="N415" s="363"/>
      <c r="O415" s="363"/>
      <c r="P415" s="364"/>
    </row>
    <row r="416" ht="16.5" hidden="1" customHeight="1" spans="1:16">
      <c r="A416" s="347" t="s">
        <v>413</v>
      </c>
      <c r="B416" s="348"/>
      <c r="C416" s="348"/>
      <c r="D416" s="349"/>
      <c r="E416" s="348"/>
      <c r="F416" s="345"/>
      <c r="G416" s="346"/>
      <c r="H416" s="348">
        <v>0</v>
      </c>
      <c r="I416" s="345"/>
      <c r="J416" s="349"/>
      <c r="K416" s="325"/>
      <c r="L416" s="325">
        <f t="shared" si="24"/>
        <v>0</v>
      </c>
      <c r="M416" s="325"/>
      <c r="N416" s="363"/>
      <c r="O416" s="363"/>
      <c r="P416" s="364"/>
    </row>
    <row r="417" ht="16.5" customHeight="1" spans="1:16">
      <c r="A417" s="347" t="s">
        <v>414</v>
      </c>
      <c r="B417" s="348"/>
      <c r="C417" s="348"/>
      <c r="D417" s="349"/>
      <c r="E417" s="348"/>
      <c r="F417" s="345"/>
      <c r="G417" s="346"/>
      <c r="H417" s="348">
        <f>355.756608+150</f>
        <v>505.756608</v>
      </c>
      <c r="I417" s="345"/>
      <c r="J417" s="349"/>
      <c r="K417" s="325"/>
      <c r="L417" s="325">
        <f t="shared" si="24"/>
        <v>505.756608</v>
      </c>
      <c r="M417" s="325"/>
      <c r="N417" s="363"/>
      <c r="O417" s="363"/>
      <c r="P417" s="364"/>
    </row>
    <row r="418" ht="16.5" customHeight="1" spans="1:16">
      <c r="A418" s="347" t="s">
        <v>415</v>
      </c>
      <c r="B418" s="348"/>
      <c r="C418" s="348"/>
      <c r="D418" s="349"/>
      <c r="E418" s="348"/>
      <c r="F418" s="345"/>
      <c r="G418" s="346"/>
      <c r="H418" s="348">
        <f>40-8</f>
        <v>32</v>
      </c>
      <c r="I418" s="345"/>
      <c r="J418" s="349"/>
      <c r="K418" s="325"/>
      <c r="L418" s="325">
        <f t="shared" si="24"/>
        <v>32</v>
      </c>
      <c r="M418" s="325"/>
      <c r="N418" s="363"/>
      <c r="O418" s="363"/>
      <c r="P418" s="364"/>
    </row>
    <row r="419" s="326" customFormat="1" ht="16.5" customHeight="1" spans="1:16">
      <c r="A419" s="347" t="s">
        <v>416</v>
      </c>
      <c r="B419" s="348"/>
      <c r="C419" s="348">
        <v>438</v>
      </c>
      <c r="D419" s="349"/>
      <c r="E419" s="348">
        <v>270</v>
      </c>
      <c r="F419" s="345">
        <f>C419-E419</f>
        <v>168</v>
      </c>
      <c r="G419" s="346"/>
      <c r="H419" s="348">
        <f>SUM(H420:H422)</f>
        <v>8</v>
      </c>
      <c r="I419" s="345">
        <f>H419-B419</f>
        <v>8</v>
      </c>
      <c r="J419" s="349"/>
      <c r="K419" s="325"/>
      <c r="L419" s="325">
        <f t="shared" si="24"/>
        <v>622</v>
      </c>
      <c r="M419" s="325"/>
      <c r="N419" s="363"/>
      <c r="O419" s="363"/>
      <c r="P419" s="364"/>
    </row>
    <row r="420" ht="16.5" hidden="1" customHeight="1" spans="1:16">
      <c r="A420" s="347" t="s">
        <v>417</v>
      </c>
      <c r="B420" s="348"/>
      <c r="C420" s="348">
        <v>0</v>
      </c>
      <c r="D420" s="349"/>
      <c r="E420" s="348"/>
      <c r="F420" s="345"/>
      <c r="G420" s="346"/>
      <c r="H420" s="348"/>
      <c r="I420" s="345"/>
      <c r="J420" s="349"/>
      <c r="K420" s="325"/>
      <c r="L420" s="325">
        <f t="shared" si="24"/>
        <v>0</v>
      </c>
      <c r="M420" s="325"/>
      <c r="N420" s="363"/>
      <c r="O420" s="363"/>
      <c r="P420" s="364"/>
    </row>
    <row r="421" ht="16.5" hidden="1" customHeight="1" spans="1:16">
      <c r="A421" s="347" t="s">
        <v>418</v>
      </c>
      <c r="B421" s="348"/>
      <c r="C421" s="348">
        <v>0</v>
      </c>
      <c r="D421" s="349"/>
      <c r="E421" s="348"/>
      <c r="F421" s="345"/>
      <c r="G421" s="346"/>
      <c r="H421" s="348"/>
      <c r="I421" s="345"/>
      <c r="J421" s="349"/>
      <c r="K421" s="325"/>
      <c r="L421" s="325">
        <f t="shared" si="24"/>
        <v>0</v>
      </c>
      <c r="M421" s="325"/>
      <c r="N421" s="363"/>
      <c r="O421" s="363"/>
      <c r="P421" s="364"/>
    </row>
    <row r="422" ht="16.5" customHeight="1" spans="1:16">
      <c r="A422" s="347" t="s">
        <v>419</v>
      </c>
      <c r="B422" s="348"/>
      <c r="C422" s="348">
        <v>0</v>
      </c>
      <c r="D422" s="349"/>
      <c r="E422" s="348"/>
      <c r="F422" s="345"/>
      <c r="G422" s="346"/>
      <c r="H422" s="348">
        <v>8</v>
      </c>
      <c r="I422" s="345"/>
      <c r="J422" s="349"/>
      <c r="K422" s="325"/>
      <c r="L422" s="325">
        <f t="shared" si="24"/>
        <v>8</v>
      </c>
      <c r="M422" s="325"/>
      <c r="N422" s="363"/>
      <c r="O422" s="363"/>
      <c r="P422" s="364"/>
    </row>
    <row r="423" s="326" customFormat="1" ht="16.5" customHeight="1" spans="1:16">
      <c r="A423" s="347" t="s">
        <v>420</v>
      </c>
      <c r="B423" s="348"/>
      <c r="C423" s="348">
        <v>2106</v>
      </c>
      <c r="D423" s="349"/>
      <c r="E423" s="348"/>
      <c r="F423" s="345">
        <f>C423-E423</f>
        <v>2106</v>
      </c>
      <c r="G423" s="346"/>
      <c r="H423" s="348">
        <f>SUM(H424:H426)</f>
        <v>0</v>
      </c>
      <c r="I423" s="345">
        <v>57</v>
      </c>
      <c r="J423" s="349">
        <v>228</v>
      </c>
      <c r="K423" s="325"/>
      <c r="L423" s="325">
        <f t="shared" si="24"/>
        <v>4497</v>
      </c>
      <c r="M423" s="325"/>
      <c r="N423" s="363"/>
      <c r="O423" s="363"/>
      <c r="P423" s="364"/>
    </row>
    <row r="424" ht="16.5" hidden="1" customHeight="1" spans="1:16">
      <c r="A424" s="347" t="s">
        <v>421</v>
      </c>
      <c r="B424" s="348"/>
      <c r="C424" s="348">
        <v>0</v>
      </c>
      <c r="D424" s="349"/>
      <c r="E424" s="348"/>
      <c r="F424" s="345"/>
      <c r="G424" s="346"/>
      <c r="H424" s="348"/>
      <c r="I424" s="345"/>
      <c r="J424" s="349"/>
      <c r="K424" s="325"/>
      <c r="L424" s="325">
        <f t="shared" si="24"/>
        <v>0</v>
      </c>
      <c r="M424" s="325"/>
      <c r="N424" s="363"/>
      <c r="O424" s="363"/>
      <c r="P424" s="364"/>
    </row>
    <row r="425" ht="16.5" hidden="1" customHeight="1" spans="1:16">
      <c r="A425" s="347" t="s">
        <v>422</v>
      </c>
      <c r="B425" s="348"/>
      <c r="C425" s="348">
        <v>0</v>
      </c>
      <c r="D425" s="349"/>
      <c r="E425" s="348"/>
      <c r="F425" s="345"/>
      <c r="G425" s="346"/>
      <c r="H425" s="348"/>
      <c r="I425" s="345"/>
      <c r="J425" s="349"/>
      <c r="K425" s="325"/>
      <c r="L425" s="325">
        <f t="shared" si="24"/>
        <v>0</v>
      </c>
      <c r="M425" s="325"/>
      <c r="N425" s="363"/>
      <c r="O425" s="363"/>
      <c r="P425" s="364"/>
    </row>
    <row r="426" ht="16.5" hidden="1" customHeight="1" spans="1:16">
      <c r="A426" s="347" t="s">
        <v>423</v>
      </c>
      <c r="B426" s="348"/>
      <c r="C426" s="348">
        <v>0</v>
      </c>
      <c r="D426" s="349"/>
      <c r="E426" s="348"/>
      <c r="F426" s="345"/>
      <c r="G426" s="346"/>
      <c r="H426" s="348"/>
      <c r="I426" s="345"/>
      <c r="J426" s="349"/>
      <c r="K426" s="325"/>
      <c r="L426" s="325">
        <f t="shared" si="24"/>
        <v>0</v>
      </c>
      <c r="M426" s="325"/>
      <c r="N426" s="363"/>
      <c r="O426" s="363"/>
      <c r="P426" s="364"/>
    </row>
    <row r="427" s="326" customFormat="1" ht="16.5" customHeight="1" spans="1:16">
      <c r="A427" s="347" t="s">
        <v>424</v>
      </c>
      <c r="B427" s="348">
        <v>34630</v>
      </c>
      <c r="C427" s="348">
        <v>42476</v>
      </c>
      <c r="D427" s="349">
        <f>C427/B427*100</f>
        <v>122.656656078545</v>
      </c>
      <c r="E427" s="348">
        <v>50786</v>
      </c>
      <c r="F427" s="345">
        <f>C427-E427</f>
        <v>-8310</v>
      </c>
      <c r="G427" s="346">
        <f>F427/E427*100</f>
        <v>-16.3627771433072</v>
      </c>
      <c r="H427" s="348">
        <f>SUM(H428:H431)</f>
        <v>33913.81178</v>
      </c>
      <c r="I427" s="345">
        <f>H427-B427</f>
        <v>-716.188219999996</v>
      </c>
      <c r="J427" s="349">
        <f>I427/B427*100</f>
        <v>-2.06811498700548</v>
      </c>
      <c r="K427" s="325"/>
      <c r="L427" s="325">
        <f t="shared" si="24"/>
        <v>102097.849323948</v>
      </c>
      <c r="M427" s="325"/>
      <c r="N427" s="363"/>
      <c r="O427" s="363"/>
      <c r="P427" s="364"/>
    </row>
    <row r="428" s="326" customFormat="1" ht="16.5" customHeight="1" spans="1:16381">
      <c r="A428" s="347" t="s">
        <v>425</v>
      </c>
      <c r="B428" s="348"/>
      <c r="C428" s="348"/>
      <c r="D428" s="349"/>
      <c r="E428" s="348"/>
      <c r="F428" s="345"/>
      <c r="G428" s="346"/>
      <c r="H428" s="348">
        <v>150</v>
      </c>
      <c r="I428" s="345"/>
      <c r="J428" s="349"/>
      <c r="K428" s="325"/>
      <c r="L428" s="325">
        <f t="shared" si="24"/>
        <v>150</v>
      </c>
      <c r="M428" s="325"/>
      <c r="N428" s="363"/>
      <c r="O428" s="363"/>
      <c r="P428" s="364"/>
      <c r="XEZ428" s="332"/>
      <c r="XFA428" s="332"/>
    </row>
    <row r="429" s="326" customFormat="1" ht="16.5" hidden="1" customHeight="1" spans="1:16381">
      <c r="A429" s="347" t="s">
        <v>426</v>
      </c>
      <c r="B429" s="348"/>
      <c r="C429" s="348"/>
      <c r="D429" s="349"/>
      <c r="E429" s="348"/>
      <c r="F429" s="345"/>
      <c r="G429" s="346"/>
      <c r="H429" s="348">
        <v>0</v>
      </c>
      <c r="I429" s="345"/>
      <c r="J429" s="349"/>
      <c r="K429" s="325"/>
      <c r="L429" s="325">
        <f t="shared" si="24"/>
        <v>0</v>
      </c>
      <c r="M429" s="325"/>
      <c r="N429" s="363"/>
      <c r="O429" s="363"/>
      <c r="P429" s="364"/>
      <c r="XEZ429" s="332"/>
      <c r="XFA429" s="332"/>
    </row>
    <row r="430" s="326" customFormat="1" ht="16.5" hidden="1" customHeight="1" spans="1:16381">
      <c r="A430" s="347" t="s">
        <v>427</v>
      </c>
      <c r="B430" s="348"/>
      <c r="C430" s="348"/>
      <c r="D430" s="349"/>
      <c r="E430" s="348"/>
      <c r="F430" s="345"/>
      <c r="G430" s="346"/>
      <c r="H430" s="348">
        <v>0</v>
      </c>
      <c r="I430" s="345"/>
      <c r="J430" s="349"/>
      <c r="K430" s="325"/>
      <c r="L430" s="325">
        <f t="shared" si="24"/>
        <v>0</v>
      </c>
      <c r="M430" s="325"/>
      <c r="N430" s="363"/>
      <c r="O430" s="363"/>
      <c r="P430" s="364"/>
      <c r="XEZ430" s="332"/>
      <c r="XFA430" s="332"/>
    </row>
    <row r="431" s="326" customFormat="1" ht="16.5" customHeight="1" spans="1:16">
      <c r="A431" s="347" t="s">
        <v>428</v>
      </c>
      <c r="B431" s="348"/>
      <c r="C431" s="348"/>
      <c r="D431" s="349"/>
      <c r="E431" s="348"/>
      <c r="F431" s="345"/>
      <c r="G431" s="346"/>
      <c r="H431" s="348">
        <v>33763.81178</v>
      </c>
      <c r="I431" s="345">
        <f>H431-B431</f>
        <v>33763.81178</v>
      </c>
      <c r="J431" s="349"/>
      <c r="K431" s="325"/>
      <c r="L431" s="325">
        <f t="shared" si="24"/>
        <v>67527.62356</v>
      </c>
      <c r="M431" s="325"/>
      <c r="N431" s="363"/>
      <c r="O431" s="363"/>
      <c r="P431" s="364"/>
    </row>
    <row r="432" s="325" customFormat="1" ht="16.5" customHeight="1" spans="1:16">
      <c r="A432" s="344" t="s">
        <v>429</v>
      </c>
      <c r="B432" s="345">
        <f>B433+B449+B457+B468+B477+B485</f>
        <v>22724</v>
      </c>
      <c r="C432" s="345">
        <f>C433+C449+C457+C468+C477+C485</f>
        <v>24643</v>
      </c>
      <c r="D432" s="349">
        <f t="shared" ref="D432:D433" si="25">C432/B432*100</f>
        <v>108.444816053512</v>
      </c>
      <c r="E432" s="345">
        <f>E433+E449+E457+E468+E477+E485</f>
        <v>24605</v>
      </c>
      <c r="F432" s="345">
        <f>C432-E432</f>
        <v>38</v>
      </c>
      <c r="G432" s="346">
        <f t="shared" ref="G432:G433" si="26">F432/E432*100</f>
        <v>0.154440154440154</v>
      </c>
      <c r="H432" s="345">
        <f>H433+H449+H457+H468+H477+H485</f>
        <v>23459.160326</v>
      </c>
      <c r="I432" s="345">
        <f>H432-B432</f>
        <v>735.160325999997</v>
      </c>
      <c r="J432" s="349">
        <f t="shared" ref="J432:J433" si="27">I432/B432*100</f>
        <v>3.23517129906705</v>
      </c>
      <c r="L432" s="325">
        <f t="shared" si="24"/>
        <v>71711.155079507</v>
      </c>
      <c r="N432" s="362"/>
      <c r="O432" s="362"/>
      <c r="P432" s="364"/>
    </row>
    <row r="433" s="326" customFormat="1" ht="16.5" customHeight="1" spans="1:16">
      <c r="A433" s="347" t="s">
        <v>430</v>
      </c>
      <c r="B433" s="348">
        <v>9823</v>
      </c>
      <c r="C433" s="348">
        <v>10951</v>
      </c>
      <c r="D433" s="349">
        <f t="shared" si="25"/>
        <v>111.483253588517</v>
      </c>
      <c r="E433" s="348">
        <v>12161</v>
      </c>
      <c r="F433" s="345">
        <f>C433-E433</f>
        <v>-1210</v>
      </c>
      <c r="G433" s="346">
        <f t="shared" si="26"/>
        <v>-9.94983965134446</v>
      </c>
      <c r="H433" s="348">
        <f>SUM(H434:H448)</f>
        <v>10061.512206</v>
      </c>
      <c r="I433" s="345">
        <f>H433-B433</f>
        <v>238.512205999999</v>
      </c>
      <c r="J433" s="349">
        <f t="shared" si="27"/>
        <v>2.4280994197292</v>
      </c>
      <c r="K433" s="325"/>
      <c r="L433" s="325">
        <f t="shared" si="24"/>
        <v>29967.9859253569</v>
      </c>
      <c r="M433" s="325"/>
      <c r="N433" s="363"/>
      <c r="O433" s="363"/>
      <c r="P433" s="364"/>
    </row>
    <row r="434" ht="16.5" customHeight="1" spans="1:16">
      <c r="A434" s="347" t="s">
        <v>155</v>
      </c>
      <c r="B434" s="348"/>
      <c r="C434" s="348"/>
      <c r="D434" s="349"/>
      <c r="E434" s="348"/>
      <c r="F434" s="345"/>
      <c r="G434" s="346"/>
      <c r="H434" s="348">
        <v>3680.641107</v>
      </c>
      <c r="I434" s="345"/>
      <c r="J434" s="349"/>
      <c r="K434" s="325"/>
      <c r="L434" s="325">
        <f t="shared" si="24"/>
        <v>3680.641107</v>
      </c>
      <c r="M434" s="325"/>
      <c r="N434" s="363"/>
      <c r="O434" s="363"/>
      <c r="P434" s="364"/>
    </row>
    <row r="435" ht="16.5" customHeight="1" spans="1:16">
      <c r="A435" s="347" t="s">
        <v>156</v>
      </c>
      <c r="B435" s="348"/>
      <c r="C435" s="348"/>
      <c r="D435" s="349"/>
      <c r="E435" s="348"/>
      <c r="F435" s="345"/>
      <c r="G435" s="346"/>
      <c r="H435" s="348">
        <v>280</v>
      </c>
      <c r="I435" s="345"/>
      <c r="J435" s="349"/>
      <c r="K435" s="325"/>
      <c r="L435" s="325">
        <f t="shared" si="24"/>
        <v>280</v>
      </c>
      <c r="M435" s="325"/>
      <c r="N435" s="363"/>
      <c r="O435" s="363"/>
      <c r="P435" s="364"/>
    </row>
    <row r="436" ht="16.5" hidden="1" customHeight="1" spans="1:16">
      <c r="A436" s="347" t="s">
        <v>157</v>
      </c>
      <c r="B436" s="348"/>
      <c r="C436" s="348"/>
      <c r="D436" s="349"/>
      <c r="E436" s="348"/>
      <c r="F436" s="345"/>
      <c r="G436" s="346"/>
      <c r="H436" s="348">
        <v>0</v>
      </c>
      <c r="I436" s="345"/>
      <c r="J436" s="349"/>
      <c r="K436" s="325"/>
      <c r="L436" s="325">
        <f t="shared" si="24"/>
        <v>0</v>
      </c>
      <c r="M436" s="325"/>
      <c r="N436" s="363"/>
      <c r="O436" s="363"/>
      <c r="P436" s="364"/>
    </row>
    <row r="437" ht="16.5" customHeight="1" spans="1:16">
      <c r="A437" s="347" t="s">
        <v>431</v>
      </c>
      <c r="B437" s="348"/>
      <c r="C437" s="348"/>
      <c r="D437" s="349"/>
      <c r="E437" s="348"/>
      <c r="F437" s="345"/>
      <c r="G437" s="346"/>
      <c r="H437" s="348">
        <v>1662.230671</v>
      </c>
      <c r="I437" s="345"/>
      <c r="J437" s="349"/>
      <c r="K437" s="325"/>
      <c r="L437" s="325">
        <f t="shared" si="24"/>
        <v>1662.230671</v>
      </c>
      <c r="M437" s="325"/>
      <c r="N437" s="363"/>
      <c r="O437" s="363"/>
      <c r="P437" s="364"/>
    </row>
    <row r="438" ht="16.5" customHeight="1" spans="1:16">
      <c r="A438" s="347" t="s">
        <v>432</v>
      </c>
      <c r="B438" s="348"/>
      <c r="C438" s="348"/>
      <c r="D438" s="349"/>
      <c r="E438" s="348"/>
      <c r="F438" s="345"/>
      <c r="G438" s="346"/>
      <c r="H438" s="348">
        <v>150</v>
      </c>
      <c r="I438" s="345"/>
      <c r="J438" s="349"/>
      <c r="K438" s="325"/>
      <c r="L438" s="325">
        <f t="shared" si="24"/>
        <v>150</v>
      </c>
      <c r="M438" s="325"/>
      <c r="N438" s="363"/>
      <c r="O438" s="363"/>
      <c r="P438" s="364"/>
    </row>
    <row r="439" ht="16.5" hidden="1" customHeight="1" spans="1:16">
      <c r="A439" s="347" t="s">
        <v>433</v>
      </c>
      <c r="B439" s="348"/>
      <c r="C439" s="348"/>
      <c r="D439" s="349"/>
      <c r="E439" s="348"/>
      <c r="F439" s="345"/>
      <c r="G439" s="346"/>
      <c r="H439" s="348">
        <v>0</v>
      </c>
      <c r="I439" s="345"/>
      <c r="J439" s="349"/>
      <c r="K439" s="325"/>
      <c r="L439" s="325">
        <f t="shared" si="24"/>
        <v>0</v>
      </c>
      <c r="M439" s="325"/>
      <c r="N439" s="363"/>
      <c r="O439" s="363"/>
      <c r="P439" s="364"/>
    </row>
    <row r="440" ht="16.5" customHeight="1" spans="1:16">
      <c r="A440" s="347" t="s">
        <v>434</v>
      </c>
      <c r="B440" s="348"/>
      <c r="C440" s="348"/>
      <c r="D440" s="349"/>
      <c r="E440" s="348"/>
      <c r="F440" s="345"/>
      <c r="G440" s="346"/>
      <c r="H440" s="348">
        <v>600</v>
      </c>
      <c r="I440" s="345"/>
      <c r="J440" s="349"/>
      <c r="K440" s="325"/>
      <c r="L440" s="325">
        <f t="shared" si="24"/>
        <v>600</v>
      </c>
      <c r="M440" s="325"/>
      <c r="N440" s="363"/>
      <c r="O440" s="363"/>
      <c r="P440" s="364"/>
    </row>
    <row r="441" ht="16.5" customHeight="1" spans="1:16">
      <c r="A441" s="347" t="s">
        <v>435</v>
      </c>
      <c r="B441" s="348"/>
      <c r="C441" s="348"/>
      <c r="D441" s="349"/>
      <c r="E441" s="348"/>
      <c r="F441" s="345"/>
      <c r="G441" s="346"/>
      <c r="H441" s="348">
        <v>50</v>
      </c>
      <c r="I441" s="345"/>
      <c r="J441" s="349"/>
      <c r="K441" s="325"/>
      <c r="L441" s="325">
        <f t="shared" si="24"/>
        <v>50</v>
      </c>
      <c r="M441" s="325"/>
      <c r="N441" s="363"/>
      <c r="O441" s="363"/>
      <c r="P441" s="364"/>
    </row>
    <row r="442" ht="16.5" customHeight="1" spans="1:16">
      <c r="A442" s="347" t="s">
        <v>436</v>
      </c>
      <c r="B442" s="348"/>
      <c r="C442" s="348"/>
      <c r="D442" s="349"/>
      <c r="E442" s="348"/>
      <c r="F442" s="345"/>
      <c r="G442" s="346"/>
      <c r="H442" s="348">
        <v>1848.290288</v>
      </c>
      <c r="I442" s="345"/>
      <c r="J442" s="349"/>
      <c r="K442" s="325"/>
      <c r="L442" s="325">
        <f t="shared" si="24"/>
        <v>1848.290288</v>
      </c>
      <c r="M442" s="325"/>
      <c r="N442" s="363"/>
      <c r="O442" s="363"/>
      <c r="P442" s="364"/>
    </row>
    <row r="443" ht="16.5" hidden="1" customHeight="1" spans="1:16">
      <c r="A443" s="347" t="s">
        <v>437</v>
      </c>
      <c r="B443" s="348"/>
      <c r="C443" s="348"/>
      <c r="D443" s="349"/>
      <c r="E443" s="348"/>
      <c r="F443" s="345"/>
      <c r="G443" s="346"/>
      <c r="H443" s="348">
        <v>0</v>
      </c>
      <c r="I443" s="345"/>
      <c r="J443" s="349"/>
      <c r="K443" s="325"/>
      <c r="L443" s="325">
        <f t="shared" si="24"/>
        <v>0</v>
      </c>
      <c r="M443" s="325"/>
      <c r="N443" s="363"/>
      <c r="O443" s="363"/>
      <c r="P443" s="364"/>
    </row>
    <row r="444" ht="16.5" hidden="1" customHeight="1" spans="1:16">
      <c r="A444" s="347" t="s">
        <v>438</v>
      </c>
      <c r="B444" s="348"/>
      <c r="C444" s="348"/>
      <c r="D444" s="349"/>
      <c r="E444" s="348"/>
      <c r="F444" s="345"/>
      <c r="G444" s="346"/>
      <c r="H444" s="348">
        <v>0</v>
      </c>
      <c r="I444" s="345"/>
      <c r="J444" s="349"/>
      <c r="K444" s="325"/>
      <c r="L444" s="325">
        <f t="shared" si="24"/>
        <v>0</v>
      </c>
      <c r="M444" s="325"/>
      <c r="N444" s="363"/>
      <c r="O444" s="363"/>
      <c r="P444" s="364"/>
    </row>
    <row r="445" ht="16.5" customHeight="1" spans="1:16">
      <c r="A445" s="347" t="s">
        <v>439</v>
      </c>
      <c r="B445" s="348"/>
      <c r="C445" s="348"/>
      <c r="D445" s="349"/>
      <c r="E445" s="348"/>
      <c r="F445" s="345"/>
      <c r="G445" s="346"/>
      <c r="H445" s="348">
        <v>855.60014</v>
      </c>
      <c r="I445" s="345"/>
      <c r="J445" s="349"/>
      <c r="K445" s="325"/>
      <c r="L445" s="325">
        <f t="shared" si="24"/>
        <v>855.60014</v>
      </c>
      <c r="M445" s="325"/>
      <c r="N445" s="363"/>
      <c r="O445" s="363"/>
      <c r="P445" s="364"/>
    </row>
    <row r="446" ht="16.5" hidden="1" customHeight="1" spans="1:16">
      <c r="A446" s="347" t="s">
        <v>440</v>
      </c>
      <c r="B446" s="348"/>
      <c r="C446" s="348"/>
      <c r="D446" s="349"/>
      <c r="E446" s="348"/>
      <c r="F446" s="345"/>
      <c r="G446" s="346"/>
      <c r="H446" s="348">
        <v>0</v>
      </c>
      <c r="I446" s="345"/>
      <c r="J446" s="349"/>
      <c r="K446" s="325"/>
      <c r="L446" s="325">
        <f t="shared" si="24"/>
        <v>0</v>
      </c>
      <c r="M446" s="325"/>
      <c r="N446" s="363"/>
      <c r="O446" s="363"/>
      <c r="P446" s="364"/>
    </row>
    <row r="447" ht="16.5" customHeight="1" spans="1:16">
      <c r="A447" s="347" t="s">
        <v>441</v>
      </c>
      <c r="B447" s="348"/>
      <c r="C447" s="348"/>
      <c r="D447" s="349"/>
      <c r="E447" s="348"/>
      <c r="F447" s="345"/>
      <c r="G447" s="346"/>
      <c r="H447" s="348">
        <v>130</v>
      </c>
      <c r="I447" s="345"/>
      <c r="J447" s="349"/>
      <c r="K447" s="325"/>
      <c r="L447" s="325">
        <f t="shared" si="24"/>
        <v>130</v>
      </c>
      <c r="M447" s="325"/>
      <c r="N447" s="363"/>
      <c r="O447" s="363"/>
      <c r="P447" s="364"/>
    </row>
    <row r="448" ht="16.5" customHeight="1" spans="1:16">
      <c r="A448" s="347" t="s">
        <v>442</v>
      </c>
      <c r="B448" s="348"/>
      <c r="C448" s="348"/>
      <c r="D448" s="349"/>
      <c r="E448" s="348"/>
      <c r="F448" s="345"/>
      <c r="G448" s="346"/>
      <c r="H448" s="348">
        <v>804.75</v>
      </c>
      <c r="I448" s="345"/>
      <c r="J448" s="349"/>
      <c r="K448" s="325"/>
      <c r="L448" s="325">
        <f t="shared" si="24"/>
        <v>804.75</v>
      </c>
      <c r="M448" s="325"/>
      <c r="N448" s="363"/>
      <c r="O448" s="363"/>
      <c r="P448" s="364"/>
    </row>
    <row r="449" s="326" customFormat="1" ht="16.5" customHeight="1" spans="1:16">
      <c r="A449" s="347" t="s">
        <v>443</v>
      </c>
      <c r="B449" s="348">
        <v>1969</v>
      </c>
      <c r="C449" s="348">
        <v>2369</v>
      </c>
      <c r="D449" s="349">
        <f>C449/B449*100</f>
        <v>120.314880650076</v>
      </c>
      <c r="E449" s="348">
        <v>1537</v>
      </c>
      <c r="F449" s="345">
        <f>C449-E449</f>
        <v>832</v>
      </c>
      <c r="G449" s="346">
        <f>F449/E449*100</f>
        <v>54.1314248536109</v>
      </c>
      <c r="H449" s="348">
        <f>SUM(H450:H456)</f>
        <v>2029.4816</v>
      </c>
      <c r="I449" s="345">
        <f>H449-B449</f>
        <v>60.4816000000001</v>
      </c>
      <c r="J449" s="349">
        <f>I449/B449*100</f>
        <v>3.07169121381412</v>
      </c>
      <c r="K449" s="325"/>
      <c r="L449" s="325">
        <f t="shared" si="24"/>
        <v>7437.4811967175</v>
      </c>
      <c r="M449" s="325"/>
      <c r="N449" s="363"/>
      <c r="O449" s="363"/>
      <c r="P449" s="364"/>
    </row>
    <row r="450" ht="16.5" customHeight="1" spans="1:16">
      <c r="A450" s="347" t="s">
        <v>155</v>
      </c>
      <c r="B450" s="348"/>
      <c r="C450" s="348"/>
      <c r="D450" s="349"/>
      <c r="E450" s="348"/>
      <c r="F450" s="345"/>
      <c r="G450" s="346"/>
      <c r="H450" s="348">
        <v>5</v>
      </c>
      <c r="I450" s="345"/>
      <c r="J450" s="349"/>
      <c r="K450" s="325"/>
      <c r="L450" s="325">
        <f t="shared" si="24"/>
        <v>5</v>
      </c>
      <c r="M450" s="325"/>
      <c r="N450" s="363"/>
      <c r="O450" s="363"/>
      <c r="P450" s="364"/>
    </row>
    <row r="451" ht="16.5" hidden="1" customHeight="1" spans="1:16">
      <c r="A451" s="347" t="s">
        <v>156</v>
      </c>
      <c r="B451" s="348"/>
      <c r="C451" s="348"/>
      <c r="D451" s="349"/>
      <c r="E451" s="348"/>
      <c r="F451" s="345"/>
      <c r="G451" s="346"/>
      <c r="H451" s="348">
        <v>0</v>
      </c>
      <c r="I451" s="345"/>
      <c r="J451" s="349"/>
      <c r="K451" s="325"/>
      <c r="L451" s="325">
        <f t="shared" si="24"/>
        <v>0</v>
      </c>
      <c r="M451" s="325"/>
      <c r="N451" s="363"/>
      <c r="O451" s="363"/>
      <c r="P451" s="364"/>
    </row>
    <row r="452" ht="16.5" hidden="1" customHeight="1" spans="1:16">
      <c r="A452" s="347" t="s">
        <v>157</v>
      </c>
      <c r="B452" s="348"/>
      <c r="C452" s="348"/>
      <c r="D452" s="349"/>
      <c r="E452" s="348"/>
      <c r="F452" s="345"/>
      <c r="G452" s="346"/>
      <c r="H452" s="348">
        <v>0</v>
      </c>
      <c r="I452" s="345"/>
      <c r="J452" s="349"/>
      <c r="K452" s="325"/>
      <c r="L452" s="325">
        <f t="shared" si="24"/>
        <v>0</v>
      </c>
      <c r="M452" s="325"/>
      <c r="N452" s="363"/>
      <c r="O452" s="363"/>
      <c r="P452" s="364"/>
    </row>
    <row r="453" ht="16.5" customHeight="1" spans="1:16">
      <c r="A453" s="347" t="s">
        <v>444</v>
      </c>
      <c r="B453" s="348"/>
      <c r="C453" s="348"/>
      <c r="D453" s="349"/>
      <c r="E453" s="348"/>
      <c r="F453" s="345"/>
      <c r="G453" s="346"/>
      <c r="H453" s="348">
        <v>620</v>
      </c>
      <c r="I453" s="345"/>
      <c r="J453" s="349"/>
      <c r="K453" s="325"/>
      <c r="L453" s="325">
        <f t="shared" si="24"/>
        <v>620</v>
      </c>
      <c r="M453" s="325"/>
      <c r="N453" s="363"/>
      <c r="O453" s="363"/>
      <c r="P453" s="364"/>
    </row>
    <row r="454" ht="16.5" customHeight="1" spans="1:16">
      <c r="A454" s="347" t="s">
        <v>445</v>
      </c>
      <c r="B454" s="348"/>
      <c r="C454" s="348"/>
      <c r="D454" s="349"/>
      <c r="E454" s="348"/>
      <c r="F454" s="345"/>
      <c r="G454" s="346"/>
      <c r="H454" s="348">
        <v>1304.4816</v>
      </c>
      <c r="I454" s="345"/>
      <c r="J454" s="349"/>
      <c r="K454" s="325"/>
      <c r="L454" s="325">
        <f t="shared" si="24"/>
        <v>1304.4816</v>
      </c>
      <c r="M454" s="325"/>
      <c r="N454" s="363"/>
      <c r="O454" s="363"/>
      <c r="P454" s="364"/>
    </row>
    <row r="455" ht="16.5" hidden="1" customHeight="1" spans="1:16">
      <c r="A455" s="347" t="s">
        <v>446</v>
      </c>
      <c r="B455" s="348"/>
      <c r="C455" s="348"/>
      <c r="D455" s="349"/>
      <c r="E455" s="348"/>
      <c r="F455" s="345"/>
      <c r="G455" s="346"/>
      <c r="H455" s="348">
        <v>0</v>
      </c>
      <c r="I455" s="345"/>
      <c r="J455" s="349"/>
      <c r="K455" s="325"/>
      <c r="L455" s="325">
        <f t="shared" si="24"/>
        <v>0</v>
      </c>
      <c r="M455" s="325"/>
      <c r="N455" s="363"/>
      <c r="O455" s="363"/>
      <c r="P455" s="364"/>
    </row>
    <row r="456" ht="16.5" customHeight="1" spans="1:16">
      <c r="A456" s="347" t="s">
        <v>447</v>
      </c>
      <c r="B456" s="348"/>
      <c r="C456" s="348">
        <v>0</v>
      </c>
      <c r="D456" s="349"/>
      <c r="E456" s="348"/>
      <c r="F456" s="345"/>
      <c r="G456" s="346"/>
      <c r="H456" s="348">
        <v>100</v>
      </c>
      <c r="I456" s="345"/>
      <c r="J456" s="349"/>
      <c r="K456" s="325"/>
      <c r="L456" s="325">
        <f t="shared" ref="L456:L519" si="28">B456+C456+D456+F456+G456+H456+I456+J456</f>
        <v>100</v>
      </c>
      <c r="M456" s="325"/>
      <c r="N456" s="363"/>
      <c r="O456" s="363"/>
      <c r="P456" s="364"/>
    </row>
    <row r="457" s="326" customFormat="1" ht="16.5" customHeight="1" spans="1:16">
      <c r="A457" s="347" t="s">
        <v>448</v>
      </c>
      <c r="B457" s="348">
        <v>1702</v>
      </c>
      <c r="C457" s="348">
        <v>2417</v>
      </c>
      <c r="D457" s="349">
        <f>C457/B457*100</f>
        <v>142.009400705053</v>
      </c>
      <c r="E457" s="348">
        <v>3145</v>
      </c>
      <c r="F457" s="345">
        <f>C457-E457</f>
        <v>-728</v>
      </c>
      <c r="G457" s="346">
        <f>F457/E457*100</f>
        <v>-23.147853736089</v>
      </c>
      <c r="H457" s="348">
        <f>SUM(H458:H467)</f>
        <v>1841.571664</v>
      </c>
      <c r="I457" s="345">
        <f>H457-B457</f>
        <v>139.571664</v>
      </c>
      <c r="J457" s="349">
        <f>I457/B457*100</f>
        <v>8.20045029377204</v>
      </c>
      <c r="K457" s="325"/>
      <c r="L457" s="325">
        <f t="shared" si="28"/>
        <v>5499.20532526274</v>
      </c>
      <c r="M457" s="325"/>
      <c r="N457" s="363"/>
      <c r="O457" s="363"/>
      <c r="P457" s="364"/>
    </row>
    <row r="458" ht="16.5" customHeight="1" spans="1:16">
      <c r="A458" s="347" t="s">
        <v>155</v>
      </c>
      <c r="B458" s="348"/>
      <c r="C458" s="348">
        <v>0</v>
      </c>
      <c r="D458" s="349"/>
      <c r="E458" s="348"/>
      <c r="F458" s="345"/>
      <c r="G458" s="346"/>
      <c r="H458" s="348">
        <v>80</v>
      </c>
      <c r="I458" s="345"/>
      <c r="J458" s="349"/>
      <c r="K458" s="325"/>
      <c r="L458" s="325">
        <f t="shared" si="28"/>
        <v>80</v>
      </c>
      <c r="M458" s="325"/>
      <c r="N458" s="363"/>
      <c r="O458" s="363"/>
      <c r="P458" s="364"/>
    </row>
    <row r="459" ht="16.5" hidden="1" customHeight="1" spans="1:16">
      <c r="A459" s="347" t="s">
        <v>156</v>
      </c>
      <c r="B459" s="348"/>
      <c r="C459" s="348">
        <v>0</v>
      </c>
      <c r="D459" s="349"/>
      <c r="E459" s="348"/>
      <c r="F459" s="345"/>
      <c r="G459" s="346"/>
      <c r="H459" s="348">
        <v>0</v>
      </c>
      <c r="I459" s="345"/>
      <c r="J459" s="349"/>
      <c r="K459" s="325"/>
      <c r="L459" s="325">
        <f t="shared" si="28"/>
        <v>0</v>
      </c>
      <c r="M459" s="325"/>
      <c r="N459" s="363"/>
      <c r="O459" s="363"/>
      <c r="P459" s="364"/>
    </row>
    <row r="460" ht="16.5" hidden="1" customHeight="1" spans="1:16">
      <c r="A460" s="347" t="s">
        <v>157</v>
      </c>
      <c r="B460" s="348"/>
      <c r="C460" s="348"/>
      <c r="D460" s="349"/>
      <c r="E460" s="348"/>
      <c r="F460" s="345"/>
      <c r="G460" s="346"/>
      <c r="H460" s="348">
        <v>0</v>
      </c>
      <c r="I460" s="345"/>
      <c r="J460" s="349"/>
      <c r="K460" s="325"/>
      <c r="L460" s="325">
        <f t="shared" si="28"/>
        <v>0</v>
      </c>
      <c r="M460" s="325"/>
      <c r="N460" s="363"/>
      <c r="O460" s="363"/>
      <c r="P460" s="364"/>
    </row>
    <row r="461" ht="16.5" customHeight="1" spans="1:16">
      <c r="A461" s="347" t="s">
        <v>449</v>
      </c>
      <c r="B461" s="348"/>
      <c r="C461" s="348"/>
      <c r="D461" s="349"/>
      <c r="E461" s="348"/>
      <c r="F461" s="345"/>
      <c r="G461" s="346"/>
      <c r="H461" s="348">
        <v>244</v>
      </c>
      <c r="I461" s="345"/>
      <c r="J461" s="349"/>
      <c r="K461" s="325"/>
      <c r="L461" s="325">
        <f t="shared" si="28"/>
        <v>244</v>
      </c>
      <c r="M461" s="325"/>
      <c r="N461" s="363"/>
      <c r="O461" s="363"/>
      <c r="P461" s="364"/>
    </row>
    <row r="462" ht="16.5" hidden="1" customHeight="1" spans="1:16">
      <c r="A462" s="347" t="s">
        <v>450</v>
      </c>
      <c r="B462" s="348"/>
      <c r="C462" s="348"/>
      <c r="D462" s="349"/>
      <c r="E462" s="348"/>
      <c r="F462" s="345"/>
      <c r="G462" s="346"/>
      <c r="H462" s="348">
        <v>0</v>
      </c>
      <c r="I462" s="345"/>
      <c r="J462" s="349"/>
      <c r="K462" s="325"/>
      <c r="L462" s="325">
        <f t="shared" si="28"/>
        <v>0</v>
      </c>
      <c r="M462" s="325"/>
      <c r="N462" s="363"/>
      <c r="O462" s="363"/>
      <c r="P462" s="364"/>
    </row>
    <row r="463" ht="16.5" customHeight="1" spans="1:16">
      <c r="A463" s="347" t="s">
        <v>451</v>
      </c>
      <c r="B463" s="348"/>
      <c r="C463" s="348"/>
      <c r="D463" s="349"/>
      <c r="E463" s="348"/>
      <c r="F463" s="345"/>
      <c r="G463" s="346"/>
      <c r="H463" s="348">
        <v>50</v>
      </c>
      <c r="I463" s="345"/>
      <c r="J463" s="349"/>
      <c r="K463" s="325"/>
      <c r="L463" s="325">
        <f t="shared" si="28"/>
        <v>50</v>
      </c>
      <c r="M463" s="325"/>
      <c r="N463" s="363"/>
      <c r="O463" s="363"/>
      <c r="P463" s="364"/>
    </row>
    <row r="464" ht="16.5" customHeight="1" spans="1:16">
      <c r="A464" s="347" t="s">
        <v>452</v>
      </c>
      <c r="B464" s="348"/>
      <c r="C464" s="348"/>
      <c r="D464" s="349"/>
      <c r="E464" s="348"/>
      <c r="F464" s="345"/>
      <c r="G464" s="346"/>
      <c r="H464" s="348">
        <v>571.10351</v>
      </c>
      <c r="I464" s="345"/>
      <c r="J464" s="349"/>
      <c r="K464" s="325"/>
      <c r="L464" s="325">
        <f t="shared" si="28"/>
        <v>571.10351</v>
      </c>
      <c r="M464" s="325"/>
      <c r="N464" s="363"/>
      <c r="O464" s="363"/>
      <c r="P464" s="364"/>
    </row>
    <row r="465" ht="16.5" customHeight="1" spans="1:16">
      <c r="A465" s="347" t="s">
        <v>453</v>
      </c>
      <c r="B465" s="348"/>
      <c r="C465" s="348"/>
      <c r="D465" s="349"/>
      <c r="E465" s="348"/>
      <c r="F465" s="345"/>
      <c r="G465" s="346"/>
      <c r="H465" s="348">
        <f>896.468154-45</f>
        <v>851.468154</v>
      </c>
      <c r="I465" s="345"/>
      <c r="J465" s="349"/>
      <c r="K465" s="325"/>
      <c r="L465" s="325">
        <f t="shared" si="28"/>
        <v>851.468154</v>
      </c>
      <c r="M465" s="325"/>
      <c r="N465" s="363"/>
      <c r="O465" s="363"/>
      <c r="P465" s="364"/>
    </row>
    <row r="466" ht="16.5" hidden="1" customHeight="1" spans="1:16">
      <c r="A466" s="347" t="s">
        <v>454</v>
      </c>
      <c r="B466" s="348"/>
      <c r="C466" s="348">
        <v>0</v>
      </c>
      <c r="D466" s="349"/>
      <c r="E466" s="348"/>
      <c r="F466" s="345"/>
      <c r="G466" s="346"/>
      <c r="H466" s="348">
        <v>0</v>
      </c>
      <c r="I466" s="345"/>
      <c r="J466" s="349"/>
      <c r="K466" s="325"/>
      <c r="L466" s="325">
        <f t="shared" si="28"/>
        <v>0</v>
      </c>
      <c r="M466" s="325"/>
      <c r="N466" s="363"/>
      <c r="O466" s="363"/>
      <c r="P466" s="364"/>
    </row>
    <row r="467" ht="16.5" customHeight="1" spans="1:16">
      <c r="A467" s="347" t="s">
        <v>455</v>
      </c>
      <c r="B467" s="348"/>
      <c r="C467" s="348">
        <v>0</v>
      </c>
      <c r="D467" s="349"/>
      <c r="E467" s="348"/>
      <c r="F467" s="345"/>
      <c r="G467" s="346"/>
      <c r="H467" s="348">
        <v>45</v>
      </c>
      <c r="I467" s="345"/>
      <c r="J467" s="349"/>
      <c r="K467" s="325"/>
      <c r="L467" s="325">
        <f t="shared" si="28"/>
        <v>45</v>
      </c>
      <c r="M467" s="325"/>
      <c r="N467" s="363"/>
      <c r="O467" s="363"/>
      <c r="P467" s="364"/>
    </row>
    <row r="468" s="326" customFormat="1" ht="16.5" customHeight="1" spans="1:16">
      <c r="A468" s="347" t="s">
        <v>456</v>
      </c>
      <c r="B468" s="348">
        <v>333</v>
      </c>
      <c r="C468" s="348">
        <v>350</v>
      </c>
      <c r="D468" s="349">
        <f>C468/B468*100</f>
        <v>105.105105105105</v>
      </c>
      <c r="E468" s="348">
        <v>468</v>
      </c>
      <c r="F468" s="345">
        <f>C468-E468</f>
        <v>-118</v>
      </c>
      <c r="G468" s="346">
        <f>F468/E468*100</f>
        <v>-25.2136752136752</v>
      </c>
      <c r="H468" s="348">
        <f>SUM(H469:H476)</f>
        <v>425.174896</v>
      </c>
      <c r="I468" s="345">
        <f>H468-B468</f>
        <v>92.174896</v>
      </c>
      <c r="J468" s="349">
        <f>I468/B468*100</f>
        <v>27.6801489489489</v>
      </c>
      <c r="K468" s="325"/>
      <c r="L468" s="325">
        <f t="shared" si="28"/>
        <v>1189.92137084038</v>
      </c>
      <c r="M468" s="325"/>
      <c r="N468" s="363"/>
      <c r="O468" s="363"/>
      <c r="P468" s="364"/>
    </row>
    <row r="469" ht="16.5" customHeight="1" spans="1:16">
      <c r="A469" s="347" t="s">
        <v>155</v>
      </c>
      <c r="B469" s="348"/>
      <c r="C469" s="348"/>
      <c r="D469" s="349"/>
      <c r="E469" s="348"/>
      <c r="F469" s="345"/>
      <c r="G469" s="346"/>
      <c r="H469" s="348">
        <v>100</v>
      </c>
      <c r="I469" s="345"/>
      <c r="J469" s="349"/>
      <c r="K469" s="325"/>
      <c r="L469" s="325">
        <f t="shared" si="28"/>
        <v>100</v>
      </c>
      <c r="M469" s="325"/>
      <c r="N469" s="363"/>
      <c r="O469" s="363"/>
      <c r="P469" s="364"/>
    </row>
    <row r="470" ht="16.5" hidden="1" customHeight="1" spans="1:16">
      <c r="A470" s="347" t="s">
        <v>156</v>
      </c>
      <c r="B470" s="348"/>
      <c r="C470" s="348">
        <v>0</v>
      </c>
      <c r="D470" s="349"/>
      <c r="E470" s="348"/>
      <c r="F470" s="345"/>
      <c r="G470" s="346"/>
      <c r="H470" s="348">
        <v>0</v>
      </c>
      <c r="I470" s="345"/>
      <c r="J470" s="349"/>
      <c r="K470" s="325"/>
      <c r="L470" s="325">
        <f t="shared" si="28"/>
        <v>0</v>
      </c>
      <c r="M470" s="325"/>
      <c r="N470" s="363"/>
      <c r="O470" s="363"/>
      <c r="P470" s="364"/>
    </row>
    <row r="471" ht="16.5" hidden="1" customHeight="1" spans="1:16">
      <c r="A471" s="347" t="s">
        <v>157</v>
      </c>
      <c r="B471" s="348"/>
      <c r="C471" s="348">
        <v>0</v>
      </c>
      <c r="D471" s="349"/>
      <c r="E471" s="348"/>
      <c r="F471" s="345"/>
      <c r="G471" s="346"/>
      <c r="H471" s="348">
        <v>0</v>
      </c>
      <c r="I471" s="345"/>
      <c r="J471" s="349"/>
      <c r="K471" s="325"/>
      <c r="L471" s="325">
        <f t="shared" si="28"/>
        <v>0</v>
      </c>
      <c r="M471" s="325"/>
      <c r="N471" s="363"/>
      <c r="O471" s="363"/>
      <c r="P471" s="364"/>
    </row>
    <row r="472" ht="16.5" hidden="1" customHeight="1" spans="1:16">
      <c r="A472" s="347" t="s">
        <v>457</v>
      </c>
      <c r="B472" s="348"/>
      <c r="C472" s="348">
        <v>0</v>
      </c>
      <c r="D472" s="349"/>
      <c r="E472" s="348"/>
      <c r="F472" s="345"/>
      <c r="G472" s="346"/>
      <c r="H472" s="348">
        <v>0</v>
      </c>
      <c r="I472" s="345"/>
      <c r="J472" s="349"/>
      <c r="K472" s="325"/>
      <c r="L472" s="325">
        <f t="shared" si="28"/>
        <v>0</v>
      </c>
      <c r="M472" s="325"/>
      <c r="N472" s="363"/>
      <c r="O472" s="363"/>
      <c r="P472" s="364"/>
    </row>
    <row r="473" ht="16.5" customHeight="1" spans="1:16">
      <c r="A473" s="347" t="s">
        <v>458</v>
      </c>
      <c r="B473" s="348"/>
      <c r="C473" s="348">
        <v>0</v>
      </c>
      <c r="D473" s="349"/>
      <c r="E473" s="348"/>
      <c r="F473" s="345"/>
      <c r="G473" s="346"/>
      <c r="H473" s="348">
        <f>212.49952+25</f>
        <v>237.49952</v>
      </c>
      <c r="I473" s="345"/>
      <c r="J473" s="349"/>
      <c r="K473" s="325"/>
      <c r="L473" s="325">
        <f t="shared" si="28"/>
        <v>237.49952</v>
      </c>
      <c r="M473" s="325"/>
      <c r="N473" s="363"/>
      <c r="O473" s="363"/>
      <c r="P473" s="364"/>
    </row>
    <row r="474" ht="16.5" hidden="1" customHeight="1" spans="1:16">
      <c r="A474" s="347" t="s">
        <v>459</v>
      </c>
      <c r="B474" s="348"/>
      <c r="C474" s="348">
        <v>0</v>
      </c>
      <c r="D474" s="349"/>
      <c r="E474" s="348"/>
      <c r="F474" s="345"/>
      <c r="G474" s="346"/>
      <c r="H474" s="348">
        <v>0</v>
      </c>
      <c r="I474" s="345"/>
      <c r="J474" s="349"/>
      <c r="K474" s="325"/>
      <c r="L474" s="325">
        <f t="shared" si="28"/>
        <v>0</v>
      </c>
      <c r="M474" s="325"/>
      <c r="N474" s="363"/>
      <c r="O474" s="363"/>
      <c r="P474" s="364"/>
    </row>
    <row r="475" ht="16.5" hidden="1" customHeight="1" spans="1:16">
      <c r="A475" s="347" t="s">
        <v>460</v>
      </c>
      <c r="B475" s="348"/>
      <c r="C475" s="348">
        <v>0</v>
      </c>
      <c r="D475" s="349"/>
      <c r="E475" s="348"/>
      <c r="F475" s="345"/>
      <c r="G475" s="346"/>
      <c r="H475" s="348">
        <v>0</v>
      </c>
      <c r="I475" s="345"/>
      <c r="J475" s="349"/>
      <c r="K475" s="325"/>
      <c r="L475" s="325">
        <f t="shared" si="28"/>
        <v>0</v>
      </c>
      <c r="M475" s="325"/>
      <c r="N475" s="363"/>
      <c r="O475" s="363"/>
      <c r="P475" s="364"/>
    </row>
    <row r="476" ht="16.5" customHeight="1" spans="1:16">
      <c r="A476" s="347" t="s">
        <v>461</v>
      </c>
      <c r="B476" s="348"/>
      <c r="C476" s="348">
        <v>0</v>
      </c>
      <c r="D476" s="349"/>
      <c r="E476" s="348"/>
      <c r="F476" s="345"/>
      <c r="G476" s="346"/>
      <c r="H476" s="348">
        <f>112.675376-25</f>
        <v>87.675376</v>
      </c>
      <c r="I476" s="345"/>
      <c r="J476" s="349"/>
      <c r="K476" s="325"/>
      <c r="L476" s="325">
        <f t="shared" si="28"/>
        <v>87.675376</v>
      </c>
      <c r="M476" s="325"/>
      <c r="N476" s="363"/>
      <c r="O476" s="363"/>
      <c r="P476" s="364"/>
    </row>
    <row r="477" s="326" customFormat="1" ht="16.5" customHeight="1" spans="1:16">
      <c r="A477" s="347" t="s">
        <v>462</v>
      </c>
      <c r="B477" s="348">
        <v>6836</v>
      </c>
      <c r="C477" s="348">
        <v>6500</v>
      </c>
      <c r="D477" s="349">
        <f>C477/B477*100</f>
        <v>95.0848449385606</v>
      </c>
      <c r="E477" s="348">
        <v>5609</v>
      </c>
      <c r="F477" s="345">
        <f>C477-E477</f>
        <v>891</v>
      </c>
      <c r="G477" s="346">
        <f>F477/E477*100</f>
        <v>15.8851845248707</v>
      </c>
      <c r="H477" s="348">
        <f>SUM(H478:H484)</f>
        <v>6991.81996</v>
      </c>
      <c r="I477" s="345">
        <f>H477-B477</f>
        <v>155.81996</v>
      </c>
      <c r="J477" s="349">
        <f>I477/B477*100</f>
        <v>2.27940257460503</v>
      </c>
      <c r="K477" s="325"/>
      <c r="L477" s="325">
        <f t="shared" si="28"/>
        <v>21487.889352038</v>
      </c>
      <c r="M477" s="325"/>
      <c r="N477" s="363"/>
      <c r="O477" s="363"/>
      <c r="P477" s="364"/>
    </row>
    <row r="478" ht="16.5" customHeight="1" spans="1:16">
      <c r="A478" s="347" t="s">
        <v>155</v>
      </c>
      <c r="B478" s="348"/>
      <c r="C478" s="348">
        <v>0</v>
      </c>
      <c r="D478" s="349"/>
      <c r="E478" s="348"/>
      <c r="F478" s="345"/>
      <c r="G478" s="346"/>
      <c r="H478" s="348">
        <v>280</v>
      </c>
      <c r="I478" s="345"/>
      <c r="J478" s="349"/>
      <c r="K478" s="325"/>
      <c r="L478" s="325">
        <f t="shared" si="28"/>
        <v>280</v>
      </c>
      <c r="M478" s="325"/>
      <c r="N478" s="363"/>
      <c r="O478" s="363"/>
      <c r="P478" s="364"/>
    </row>
    <row r="479" ht="16.5" customHeight="1" spans="1:16">
      <c r="A479" s="347" t="s">
        <v>156</v>
      </c>
      <c r="B479" s="348"/>
      <c r="C479" s="348">
        <v>0</v>
      </c>
      <c r="D479" s="349"/>
      <c r="E479" s="348"/>
      <c r="F479" s="345"/>
      <c r="G479" s="346"/>
      <c r="H479" s="348">
        <v>20</v>
      </c>
      <c r="I479" s="345"/>
      <c r="J479" s="349"/>
      <c r="K479" s="325"/>
      <c r="L479" s="325">
        <f t="shared" si="28"/>
        <v>20</v>
      </c>
      <c r="M479" s="325"/>
      <c r="N479" s="363"/>
      <c r="O479" s="363"/>
      <c r="P479" s="364"/>
    </row>
    <row r="480" ht="16.5" customHeight="1" spans="1:16">
      <c r="A480" s="347" t="s">
        <v>157</v>
      </c>
      <c r="B480" s="348"/>
      <c r="C480" s="348">
        <v>0</v>
      </c>
      <c r="D480" s="349"/>
      <c r="E480" s="348"/>
      <c r="F480" s="345"/>
      <c r="G480" s="346"/>
      <c r="H480" s="348">
        <v>135</v>
      </c>
      <c r="I480" s="345"/>
      <c r="J480" s="349"/>
      <c r="K480" s="325"/>
      <c r="L480" s="325">
        <f t="shared" si="28"/>
        <v>135</v>
      </c>
      <c r="M480" s="325"/>
      <c r="N480" s="363"/>
      <c r="O480" s="363"/>
      <c r="P480" s="364"/>
    </row>
    <row r="481" ht="16.5" hidden="1" customHeight="1" spans="1:16">
      <c r="A481" s="347" t="s">
        <v>463</v>
      </c>
      <c r="B481" s="348"/>
      <c r="C481" s="348">
        <v>0</v>
      </c>
      <c r="D481" s="349"/>
      <c r="E481" s="348"/>
      <c r="F481" s="345"/>
      <c r="G481" s="346"/>
      <c r="H481" s="348">
        <v>0</v>
      </c>
      <c r="I481" s="345"/>
      <c r="J481" s="349"/>
      <c r="K481" s="325"/>
      <c r="L481" s="325">
        <f t="shared" si="28"/>
        <v>0</v>
      </c>
      <c r="M481" s="325"/>
      <c r="N481" s="363"/>
      <c r="O481" s="363"/>
      <c r="P481" s="364"/>
    </row>
    <row r="482" ht="16.5" hidden="1" customHeight="1" spans="1:16">
      <c r="A482" s="347" t="s">
        <v>464</v>
      </c>
      <c r="B482" s="348"/>
      <c r="C482" s="348">
        <v>0</v>
      </c>
      <c r="D482" s="349"/>
      <c r="E482" s="348"/>
      <c r="F482" s="345"/>
      <c r="G482" s="346"/>
      <c r="H482" s="348">
        <v>0</v>
      </c>
      <c r="I482" s="345"/>
      <c r="J482" s="349"/>
      <c r="K482" s="325"/>
      <c r="L482" s="325">
        <f t="shared" si="28"/>
        <v>0</v>
      </c>
      <c r="M482" s="325"/>
      <c r="N482" s="363"/>
      <c r="O482" s="363"/>
      <c r="P482" s="364"/>
    </row>
    <row r="483" ht="16.5" customHeight="1" spans="1:16">
      <c r="A483" s="347" t="s">
        <v>465</v>
      </c>
      <c r="B483" s="348"/>
      <c r="C483" s="348"/>
      <c r="D483" s="349"/>
      <c r="E483" s="348"/>
      <c r="F483" s="345"/>
      <c r="G483" s="346"/>
      <c r="H483" s="348">
        <v>6335.805975</v>
      </c>
      <c r="I483" s="345"/>
      <c r="J483" s="349"/>
      <c r="K483" s="325"/>
      <c r="L483" s="325">
        <f t="shared" si="28"/>
        <v>6335.805975</v>
      </c>
      <c r="M483" s="325"/>
      <c r="N483" s="363"/>
      <c r="O483" s="363"/>
      <c r="P483" s="364"/>
    </row>
    <row r="484" ht="16.5" customHeight="1" spans="1:16">
      <c r="A484" s="347" t="s">
        <v>466</v>
      </c>
      <c r="B484" s="348"/>
      <c r="C484" s="348">
        <v>0</v>
      </c>
      <c r="D484" s="349"/>
      <c r="E484" s="348"/>
      <c r="F484" s="345"/>
      <c r="G484" s="346"/>
      <c r="H484" s="348">
        <v>221.013985</v>
      </c>
      <c r="I484" s="345"/>
      <c r="J484" s="349"/>
      <c r="K484" s="325"/>
      <c r="L484" s="325">
        <f t="shared" si="28"/>
        <v>221.013985</v>
      </c>
      <c r="M484" s="325"/>
      <c r="N484" s="363"/>
      <c r="O484" s="363"/>
      <c r="P484" s="364"/>
    </row>
    <row r="485" s="326" customFormat="1" ht="16.5" customHeight="1" spans="1:16">
      <c r="A485" s="347" t="s">
        <v>467</v>
      </c>
      <c r="B485" s="348">
        <v>2061</v>
      </c>
      <c r="C485" s="348">
        <v>2056</v>
      </c>
      <c r="D485" s="349">
        <f>C485/B485*100</f>
        <v>99.7573993207181</v>
      </c>
      <c r="E485" s="348">
        <v>1685</v>
      </c>
      <c r="F485" s="345">
        <f>C485-E485</f>
        <v>371</v>
      </c>
      <c r="G485" s="346">
        <f>F485/E485*100</f>
        <v>22.0178041543027</v>
      </c>
      <c r="H485" s="348">
        <f>SUM(H486:H487)</f>
        <v>2109.6</v>
      </c>
      <c r="I485" s="345">
        <f>H485-B485</f>
        <v>48.5999999999999</v>
      </c>
      <c r="J485" s="349">
        <f>I485/B485*100</f>
        <v>2.35807860262008</v>
      </c>
      <c r="K485" s="325"/>
      <c r="L485" s="325">
        <f t="shared" si="28"/>
        <v>6770.33328207764</v>
      </c>
      <c r="M485" s="325"/>
      <c r="N485" s="363"/>
      <c r="O485" s="363"/>
      <c r="P485" s="364"/>
    </row>
    <row r="486" ht="16.5" hidden="1" customHeight="1" spans="1:16">
      <c r="A486" s="365" t="s">
        <v>468</v>
      </c>
      <c r="B486" s="348"/>
      <c r="C486" s="348">
        <v>0</v>
      </c>
      <c r="D486" s="349"/>
      <c r="E486" s="348"/>
      <c r="F486" s="345"/>
      <c r="G486" s="346"/>
      <c r="H486" s="348">
        <v>0</v>
      </c>
      <c r="I486" s="345"/>
      <c r="J486" s="349"/>
      <c r="K486" s="325"/>
      <c r="L486" s="325">
        <f t="shared" si="28"/>
        <v>0</v>
      </c>
      <c r="M486" s="325"/>
      <c r="N486" s="363"/>
      <c r="O486" s="363"/>
      <c r="P486" s="364"/>
    </row>
    <row r="487" ht="16.5" customHeight="1" spans="1:16">
      <c r="A487" s="365" t="s">
        <v>469</v>
      </c>
      <c r="B487" s="348"/>
      <c r="C487" s="348"/>
      <c r="D487" s="349"/>
      <c r="E487" s="348"/>
      <c r="F487" s="345"/>
      <c r="G487" s="346"/>
      <c r="H487" s="348">
        <f>1309.6+800</f>
        <v>2109.6</v>
      </c>
      <c r="I487" s="345"/>
      <c r="J487" s="349"/>
      <c r="K487" s="325"/>
      <c r="L487" s="325">
        <f t="shared" si="28"/>
        <v>2109.6</v>
      </c>
      <c r="M487" s="325"/>
      <c r="N487" s="363"/>
      <c r="O487" s="363"/>
      <c r="P487" s="364"/>
    </row>
    <row r="488" s="325" customFormat="1" ht="16.5" customHeight="1" spans="1:16">
      <c r="A488" s="344" t="s">
        <v>470</v>
      </c>
      <c r="B488" s="345">
        <f>B489+B508+B516+B517+B526+B530+B540+B549+B556+B564+B573+B579+B582+B585+B588+B594+B598+B591+B602+B614+B611</f>
        <v>779832</v>
      </c>
      <c r="C488" s="345">
        <f t="shared" ref="C488:E488" si="29">C489+C508+C516+C517+C526+C530+C540+C549+C556+C564+C573+C579+C582+C585+C588+C594+C598+C591+C602+C614+C611</f>
        <v>811120</v>
      </c>
      <c r="D488" s="349">
        <f>C488/B488*100</f>
        <v>104.012146205849</v>
      </c>
      <c r="E488" s="345">
        <f t="shared" si="29"/>
        <v>664271</v>
      </c>
      <c r="F488" s="345">
        <f>C488-E488</f>
        <v>146849</v>
      </c>
      <c r="G488" s="346">
        <f>F488/E488*100</f>
        <v>22.1067907525694</v>
      </c>
      <c r="H488" s="345">
        <f>H489+H508+H516+H517+H526+H530+H540+H549+H556+H564+H573+H579+H582+H585+H588+H594+H598+H591+H602+H614+H611</f>
        <v>818347.030899</v>
      </c>
      <c r="I488" s="345">
        <f>H488-B488</f>
        <v>38515.0308989999</v>
      </c>
      <c r="J488" s="349">
        <f>I488/B488*100</f>
        <v>4.93888823477363</v>
      </c>
      <c r="L488" s="325">
        <f t="shared" si="28"/>
        <v>2594794.11962319</v>
      </c>
      <c r="N488" s="362"/>
      <c r="O488" s="362"/>
      <c r="P488" s="364"/>
    </row>
    <row r="489" s="326" customFormat="1" ht="16.5" customHeight="1" spans="1:16">
      <c r="A489" s="347" t="s">
        <v>471</v>
      </c>
      <c r="B489" s="348">
        <v>21015</v>
      </c>
      <c r="C489" s="348">
        <v>26209</v>
      </c>
      <c r="D489" s="349">
        <f>C489/B489*100</f>
        <v>124.715679276707</v>
      </c>
      <c r="E489" s="348">
        <v>20924</v>
      </c>
      <c r="F489" s="345">
        <f>C489-E489</f>
        <v>5285</v>
      </c>
      <c r="G489" s="346">
        <f>F489/E489*100</f>
        <v>25.2580768495508</v>
      </c>
      <c r="H489" s="348">
        <f>SUM(H490:H507)</f>
        <v>20353.688862</v>
      </c>
      <c r="I489" s="345">
        <f>H489-B489</f>
        <v>-661.311138000001</v>
      </c>
      <c r="J489" s="349">
        <f>I489/B489*100</f>
        <v>-3.14685290506781</v>
      </c>
      <c r="K489" s="325"/>
      <c r="L489" s="325">
        <f t="shared" si="28"/>
        <v>72348.2046272212</v>
      </c>
      <c r="M489" s="325"/>
      <c r="N489" s="363"/>
      <c r="O489" s="363"/>
      <c r="P489" s="364"/>
    </row>
    <row r="490" ht="16.5" customHeight="1" spans="1:16">
      <c r="A490" s="365" t="s">
        <v>155</v>
      </c>
      <c r="B490" s="348"/>
      <c r="C490" s="348"/>
      <c r="D490" s="349"/>
      <c r="E490" s="348"/>
      <c r="F490" s="345"/>
      <c r="G490" s="346"/>
      <c r="H490" s="348">
        <v>8776.43731</v>
      </c>
      <c r="I490" s="345"/>
      <c r="J490" s="349"/>
      <c r="K490" s="325"/>
      <c r="L490" s="325">
        <f t="shared" si="28"/>
        <v>8776.43731</v>
      </c>
      <c r="M490" s="325"/>
      <c r="N490" s="363"/>
      <c r="O490" s="363"/>
      <c r="P490" s="364"/>
    </row>
    <row r="491" ht="16.5" customHeight="1" spans="1:16">
      <c r="A491" s="347" t="s">
        <v>156</v>
      </c>
      <c r="B491" s="348"/>
      <c r="C491" s="348"/>
      <c r="D491" s="349"/>
      <c r="E491" s="348"/>
      <c r="F491" s="345"/>
      <c r="G491" s="346"/>
      <c r="H491" s="348">
        <v>168</v>
      </c>
      <c r="I491" s="345"/>
      <c r="J491" s="349"/>
      <c r="K491" s="325"/>
      <c r="L491" s="325">
        <f t="shared" si="28"/>
        <v>168</v>
      </c>
      <c r="M491" s="325"/>
      <c r="N491" s="363"/>
      <c r="O491" s="363"/>
      <c r="P491" s="364"/>
    </row>
    <row r="492" ht="16.5" hidden="1" customHeight="1" spans="1:16">
      <c r="A492" s="347" t="s">
        <v>157</v>
      </c>
      <c r="B492" s="348"/>
      <c r="C492" s="348"/>
      <c r="D492" s="349"/>
      <c r="E492" s="348"/>
      <c r="F492" s="345"/>
      <c r="G492" s="346"/>
      <c r="H492" s="348">
        <v>0</v>
      </c>
      <c r="I492" s="345"/>
      <c r="J492" s="349"/>
      <c r="K492" s="325"/>
      <c r="L492" s="325">
        <f t="shared" si="28"/>
        <v>0</v>
      </c>
      <c r="M492" s="325"/>
      <c r="N492" s="363"/>
      <c r="O492" s="363"/>
      <c r="P492" s="364"/>
    </row>
    <row r="493" ht="16.5" customHeight="1" spans="1:16">
      <c r="A493" s="365" t="s">
        <v>472</v>
      </c>
      <c r="B493" s="348"/>
      <c r="C493" s="348"/>
      <c r="D493" s="349"/>
      <c r="E493" s="348"/>
      <c r="F493" s="345"/>
      <c r="G493" s="346"/>
      <c r="H493" s="348">
        <v>787</v>
      </c>
      <c r="I493" s="345"/>
      <c r="J493" s="349"/>
      <c r="K493" s="325"/>
      <c r="L493" s="325">
        <f t="shared" si="28"/>
        <v>787</v>
      </c>
      <c r="M493" s="325"/>
      <c r="N493" s="363"/>
      <c r="O493" s="363"/>
      <c r="P493" s="364"/>
    </row>
    <row r="494" ht="16.5" customHeight="1" spans="1:16">
      <c r="A494" s="365" t="s">
        <v>473</v>
      </c>
      <c r="B494" s="348"/>
      <c r="C494" s="348"/>
      <c r="D494" s="349"/>
      <c r="E494" s="348"/>
      <c r="F494" s="345"/>
      <c r="G494" s="346"/>
      <c r="H494" s="348">
        <v>6</v>
      </c>
      <c r="I494" s="345"/>
      <c r="J494" s="349"/>
      <c r="K494" s="325"/>
      <c r="L494" s="325">
        <f t="shared" si="28"/>
        <v>6</v>
      </c>
      <c r="M494" s="325"/>
      <c r="N494" s="363"/>
      <c r="O494" s="363"/>
      <c r="P494" s="364"/>
    </row>
    <row r="495" ht="16.5" customHeight="1" spans="1:16">
      <c r="A495" s="365" t="s">
        <v>474</v>
      </c>
      <c r="B495" s="348"/>
      <c r="C495" s="348"/>
      <c r="D495" s="349"/>
      <c r="E495" s="348"/>
      <c r="F495" s="345"/>
      <c r="G495" s="346"/>
      <c r="H495" s="348">
        <v>421.669766</v>
      </c>
      <c r="I495" s="345"/>
      <c r="J495" s="349"/>
      <c r="K495" s="325"/>
      <c r="L495" s="325">
        <f t="shared" si="28"/>
        <v>421.669766</v>
      </c>
      <c r="M495" s="325"/>
      <c r="N495" s="363"/>
      <c r="O495" s="363"/>
      <c r="P495" s="364"/>
    </row>
    <row r="496" ht="16.5" customHeight="1" spans="1:16">
      <c r="A496" s="365" t="s">
        <v>475</v>
      </c>
      <c r="B496" s="348"/>
      <c r="C496" s="348"/>
      <c r="D496" s="349"/>
      <c r="E496" s="348"/>
      <c r="F496" s="345"/>
      <c r="G496" s="346"/>
      <c r="H496" s="348">
        <v>50</v>
      </c>
      <c r="I496" s="345"/>
      <c r="J496" s="349"/>
      <c r="K496" s="325"/>
      <c r="L496" s="325">
        <f t="shared" si="28"/>
        <v>50</v>
      </c>
      <c r="M496" s="325"/>
      <c r="N496" s="363"/>
      <c r="O496" s="363"/>
      <c r="P496" s="364"/>
    </row>
    <row r="497" ht="16.5" hidden="1" customHeight="1" spans="1:16">
      <c r="A497" s="365" t="s">
        <v>195</v>
      </c>
      <c r="B497" s="348"/>
      <c r="C497" s="348"/>
      <c r="D497" s="349"/>
      <c r="E497" s="348"/>
      <c r="F497" s="345"/>
      <c r="G497" s="346"/>
      <c r="H497" s="348">
        <v>0</v>
      </c>
      <c r="I497" s="345"/>
      <c r="J497" s="349"/>
      <c r="K497" s="325"/>
      <c r="L497" s="325">
        <f t="shared" si="28"/>
        <v>0</v>
      </c>
      <c r="M497" s="325"/>
      <c r="N497" s="363"/>
      <c r="O497" s="363"/>
      <c r="P497" s="364"/>
    </row>
    <row r="498" ht="16.5" customHeight="1" spans="1:16">
      <c r="A498" s="365" t="s">
        <v>476</v>
      </c>
      <c r="B498" s="348"/>
      <c r="C498" s="348"/>
      <c r="D498" s="349"/>
      <c r="E498" s="348"/>
      <c r="F498" s="345"/>
      <c r="G498" s="346"/>
      <c r="H498" s="348">
        <f>5941.407938-30</f>
        <v>5911.407938</v>
      </c>
      <c r="I498" s="345"/>
      <c r="J498" s="349"/>
      <c r="K498" s="325"/>
      <c r="L498" s="325">
        <f t="shared" si="28"/>
        <v>5911.407938</v>
      </c>
      <c r="M498" s="325"/>
      <c r="N498" s="363"/>
      <c r="O498" s="363"/>
      <c r="P498" s="364"/>
    </row>
    <row r="499" ht="16.5" customHeight="1" spans="1:16">
      <c r="A499" s="365" t="s">
        <v>477</v>
      </c>
      <c r="B499" s="348"/>
      <c r="C499" s="348"/>
      <c r="D499" s="349"/>
      <c r="E499" s="348"/>
      <c r="F499" s="345"/>
      <c r="G499" s="346"/>
      <c r="H499" s="348">
        <f>196.410292+30</f>
        <v>226.410292</v>
      </c>
      <c r="I499" s="345"/>
      <c r="J499" s="349"/>
      <c r="K499" s="325"/>
      <c r="L499" s="325">
        <f t="shared" si="28"/>
        <v>226.410292</v>
      </c>
      <c r="M499" s="325"/>
      <c r="N499" s="363"/>
      <c r="O499" s="363"/>
      <c r="P499" s="364"/>
    </row>
    <row r="500" ht="16.5" customHeight="1" spans="1:16">
      <c r="A500" s="365" t="s">
        <v>478</v>
      </c>
      <c r="B500" s="348"/>
      <c r="C500" s="348"/>
      <c r="D500" s="349"/>
      <c r="E500" s="348"/>
      <c r="F500" s="345"/>
      <c r="G500" s="346"/>
      <c r="H500" s="348">
        <v>698.61149</v>
      </c>
      <c r="I500" s="345"/>
      <c r="J500" s="349"/>
      <c r="K500" s="325"/>
      <c r="L500" s="325">
        <f t="shared" si="28"/>
        <v>698.61149</v>
      </c>
      <c r="M500" s="325"/>
      <c r="N500" s="363"/>
      <c r="O500" s="363"/>
      <c r="P500" s="364"/>
    </row>
    <row r="501" ht="16.5" customHeight="1" spans="1:16">
      <c r="A501" s="365" t="s">
        <v>479</v>
      </c>
      <c r="B501" s="348"/>
      <c r="C501" s="348"/>
      <c r="D501" s="349"/>
      <c r="E501" s="348"/>
      <c r="F501" s="345"/>
      <c r="G501" s="346"/>
      <c r="H501" s="348">
        <v>65</v>
      </c>
      <c r="I501" s="345"/>
      <c r="J501" s="349"/>
      <c r="K501" s="325"/>
      <c r="L501" s="325">
        <f t="shared" si="28"/>
        <v>65</v>
      </c>
      <c r="M501" s="325"/>
      <c r="N501" s="363"/>
      <c r="O501" s="363"/>
      <c r="P501" s="364"/>
    </row>
    <row r="502" ht="16.5" hidden="1" customHeight="1" spans="1:16">
      <c r="A502" s="365" t="s">
        <v>480</v>
      </c>
      <c r="B502" s="348"/>
      <c r="C502" s="348"/>
      <c r="D502" s="349"/>
      <c r="E502" s="348"/>
      <c r="F502" s="345"/>
      <c r="G502" s="346"/>
      <c r="H502" s="348">
        <v>0</v>
      </c>
      <c r="I502" s="345"/>
      <c r="J502" s="349"/>
      <c r="K502" s="325"/>
      <c r="L502" s="325">
        <f t="shared" si="28"/>
        <v>0</v>
      </c>
      <c r="M502" s="325"/>
      <c r="N502" s="363"/>
      <c r="O502" s="363"/>
      <c r="P502" s="364"/>
    </row>
    <row r="503" ht="16.5" hidden="1" customHeight="1" spans="1:16">
      <c r="A503" s="365" t="s">
        <v>481</v>
      </c>
      <c r="B503" s="348"/>
      <c r="C503" s="348"/>
      <c r="D503" s="349"/>
      <c r="E503" s="348"/>
      <c r="F503" s="345"/>
      <c r="G503" s="346"/>
      <c r="H503" s="348">
        <v>0</v>
      </c>
      <c r="I503" s="345"/>
      <c r="J503" s="349"/>
      <c r="K503" s="325"/>
      <c r="L503" s="325">
        <f t="shared" si="28"/>
        <v>0</v>
      </c>
      <c r="M503" s="325"/>
      <c r="N503" s="363"/>
      <c r="O503" s="363"/>
      <c r="P503" s="364"/>
    </row>
    <row r="504" ht="16.5" customHeight="1" spans="1:16">
      <c r="A504" s="365" t="s">
        <v>482</v>
      </c>
      <c r="B504" s="348"/>
      <c r="C504" s="348"/>
      <c r="D504" s="349"/>
      <c r="E504" s="348"/>
      <c r="F504" s="345"/>
      <c r="G504" s="346"/>
      <c r="H504" s="348">
        <v>8</v>
      </c>
      <c r="I504" s="345"/>
      <c r="J504" s="349"/>
      <c r="K504" s="325"/>
      <c r="L504" s="325">
        <f t="shared" si="28"/>
        <v>8</v>
      </c>
      <c r="M504" s="325"/>
      <c r="N504" s="363"/>
      <c r="O504" s="363"/>
      <c r="P504" s="364"/>
    </row>
    <row r="505" ht="16.5" hidden="1" customHeight="1" spans="1:16">
      <c r="A505" s="365" t="s">
        <v>483</v>
      </c>
      <c r="B505" s="348"/>
      <c r="C505" s="348"/>
      <c r="D505" s="349"/>
      <c r="E505" s="348"/>
      <c r="F505" s="345"/>
      <c r="G505" s="346"/>
      <c r="H505" s="348">
        <v>0</v>
      </c>
      <c r="I505" s="345"/>
      <c r="J505" s="349"/>
      <c r="K505" s="325"/>
      <c r="L505" s="325">
        <f t="shared" si="28"/>
        <v>0</v>
      </c>
      <c r="M505" s="325"/>
      <c r="N505" s="363"/>
      <c r="O505" s="363"/>
      <c r="P505" s="364"/>
    </row>
    <row r="506" ht="16.5" customHeight="1" spans="1:16">
      <c r="A506" s="365" t="s">
        <v>164</v>
      </c>
      <c r="B506" s="348"/>
      <c r="C506" s="348"/>
      <c r="D506" s="349"/>
      <c r="E506" s="348"/>
      <c r="F506" s="345"/>
      <c r="G506" s="346"/>
      <c r="H506" s="348">
        <v>1690</v>
      </c>
      <c r="I506" s="345"/>
      <c r="J506" s="349"/>
      <c r="K506" s="325"/>
      <c r="L506" s="325">
        <f t="shared" si="28"/>
        <v>1690</v>
      </c>
      <c r="M506" s="325"/>
      <c r="N506" s="363"/>
      <c r="O506" s="363"/>
      <c r="P506" s="364"/>
    </row>
    <row r="507" ht="16.5" customHeight="1" spans="1:16">
      <c r="A507" s="365" t="s">
        <v>484</v>
      </c>
      <c r="B507" s="348"/>
      <c r="C507" s="348"/>
      <c r="D507" s="349"/>
      <c r="E507" s="348"/>
      <c r="F507" s="345"/>
      <c r="G507" s="346"/>
      <c r="H507" s="348">
        <v>1545.152066</v>
      </c>
      <c r="I507" s="345"/>
      <c r="J507" s="349"/>
      <c r="K507" s="325"/>
      <c r="L507" s="325">
        <f t="shared" si="28"/>
        <v>1545.152066</v>
      </c>
      <c r="M507" s="325"/>
      <c r="N507" s="363"/>
      <c r="O507" s="363"/>
      <c r="P507" s="364"/>
    </row>
    <row r="508" s="326" customFormat="1" ht="16.5" customHeight="1" spans="1:16">
      <c r="A508" s="347" t="s">
        <v>485</v>
      </c>
      <c r="B508" s="348">
        <v>5658</v>
      </c>
      <c r="C508" s="348">
        <v>4454</v>
      </c>
      <c r="D508" s="349">
        <f>C508/B508*100</f>
        <v>78.7203958996112</v>
      </c>
      <c r="E508" s="348">
        <v>5224</v>
      </c>
      <c r="F508" s="345">
        <f>C508-E508</f>
        <v>-770</v>
      </c>
      <c r="G508" s="346">
        <f>F508/E508*100</f>
        <v>-14.739663093415</v>
      </c>
      <c r="H508" s="348">
        <f>SUM(H509:H515)</f>
        <v>6043.783307</v>
      </c>
      <c r="I508" s="345">
        <f>H508-B508</f>
        <v>385.783307</v>
      </c>
      <c r="J508" s="349">
        <f>I508/B508*100</f>
        <v>6.81836880523153</v>
      </c>
      <c r="K508" s="325"/>
      <c r="L508" s="325">
        <f t="shared" si="28"/>
        <v>15842.3657156114</v>
      </c>
      <c r="M508" s="325"/>
      <c r="N508" s="363"/>
      <c r="O508" s="363"/>
      <c r="P508" s="364"/>
    </row>
    <row r="509" ht="16.5" customHeight="1" spans="1:16">
      <c r="A509" s="347" t="s">
        <v>155</v>
      </c>
      <c r="B509" s="348"/>
      <c r="C509" s="348"/>
      <c r="D509" s="349"/>
      <c r="E509" s="348"/>
      <c r="F509" s="345"/>
      <c r="G509" s="346"/>
      <c r="H509" s="348">
        <v>4779.225033</v>
      </c>
      <c r="I509" s="345"/>
      <c r="J509" s="349"/>
      <c r="K509" s="325"/>
      <c r="L509" s="325">
        <f t="shared" si="28"/>
        <v>4779.225033</v>
      </c>
      <c r="M509" s="325"/>
      <c r="N509" s="363"/>
      <c r="O509" s="363"/>
      <c r="P509" s="364"/>
    </row>
    <row r="510" ht="16.5" customHeight="1" spans="1:16">
      <c r="A510" s="347" t="s">
        <v>156</v>
      </c>
      <c r="B510" s="348"/>
      <c r="C510" s="348"/>
      <c r="D510" s="349"/>
      <c r="E510" s="348"/>
      <c r="F510" s="345"/>
      <c r="G510" s="346"/>
      <c r="H510" s="348">
        <v>320.068274</v>
      </c>
      <c r="I510" s="345"/>
      <c r="J510" s="349"/>
      <c r="K510" s="325"/>
      <c r="L510" s="325">
        <f t="shared" si="28"/>
        <v>320.068274</v>
      </c>
      <c r="M510" s="325"/>
      <c r="N510" s="363"/>
      <c r="O510" s="363"/>
      <c r="P510" s="364"/>
    </row>
    <row r="511" ht="16.5" hidden="1" customHeight="1" spans="1:16">
      <c r="A511" s="347" t="s">
        <v>157</v>
      </c>
      <c r="B511" s="348"/>
      <c r="C511" s="348"/>
      <c r="D511" s="349"/>
      <c r="E511" s="348"/>
      <c r="F511" s="345"/>
      <c r="G511" s="346"/>
      <c r="H511" s="348">
        <v>0</v>
      </c>
      <c r="I511" s="345"/>
      <c r="J511" s="349"/>
      <c r="K511" s="325"/>
      <c r="L511" s="325">
        <f t="shared" si="28"/>
        <v>0</v>
      </c>
      <c r="M511" s="325"/>
      <c r="N511" s="363"/>
      <c r="O511" s="363"/>
      <c r="P511" s="364"/>
    </row>
    <row r="512" ht="16.5" customHeight="1" spans="1:16">
      <c r="A512" s="347" t="s">
        <v>486</v>
      </c>
      <c r="B512" s="348"/>
      <c r="C512" s="348"/>
      <c r="D512" s="349"/>
      <c r="E512" s="348"/>
      <c r="F512" s="345"/>
      <c r="G512" s="346"/>
      <c r="H512" s="348">
        <v>12</v>
      </c>
      <c r="I512" s="345"/>
      <c r="J512" s="349"/>
      <c r="K512" s="325"/>
      <c r="L512" s="325">
        <f t="shared" si="28"/>
        <v>12</v>
      </c>
      <c r="M512" s="325"/>
      <c r="N512" s="363"/>
      <c r="O512" s="363"/>
      <c r="P512" s="364"/>
    </row>
    <row r="513" ht="16.5" customHeight="1" spans="1:16">
      <c r="A513" s="347" t="s">
        <v>487</v>
      </c>
      <c r="B513" s="348"/>
      <c r="C513" s="348"/>
      <c r="D513" s="349"/>
      <c r="E513" s="348"/>
      <c r="F513" s="345"/>
      <c r="G513" s="346"/>
      <c r="H513" s="348">
        <v>3.49</v>
      </c>
      <c r="I513" s="345"/>
      <c r="J513" s="349"/>
      <c r="K513" s="325"/>
      <c r="L513" s="325">
        <f t="shared" si="28"/>
        <v>3.49</v>
      </c>
      <c r="M513" s="325"/>
      <c r="N513" s="363"/>
      <c r="O513" s="363"/>
      <c r="P513" s="364"/>
    </row>
    <row r="514" ht="16.5" customHeight="1" spans="1:16">
      <c r="A514" s="347" t="s">
        <v>488</v>
      </c>
      <c r="B514" s="348"/>
      <c r="C514" s="348"/>
      <c r="D514" s="349"/>
      <c r="E514" s="348"/>
      <c r="F514" s="345"/>
      <c r="G514" s="346"/>
      <c r="H514" s="348">
        <v>50</v>
      </c>
      <c r="I514" s="345"/>
      <c r="J514" s="349"/>
      <c r="K514" s="325"/>
      <c r="L514" s="325">
        <f t="shared" si="28"/>
        <v>50</v>
      </c>
      <c r="M514" s="325"/>
      <c r="N514" s="363"/>
      <c r="O514" s="363"/>
      <c r="P514" s="364"/>
    </row>
    <row r="515" ht="16.5" customHeight="1" spans="1:16">
      <c r="A515" s="347" t="s">
        <v>489</v>
      </c>
      <c r="B515" s="348"/>
      <c r="C515" s="348"/>
      <c r="D515" s="349"/>
      <c r="E515" s="348"/>
      <c r="F515" s="345"/>
      <c r="G515" s="346"/>
      <c r="H515" s="348">
        <v>879</v>
      </c>
      <c r="I515" s="345"/>
      <c r="J515" s="349"/>
      <c r="K515" s="325"/>
      <c r="L515" s="325">
        <f t="shared" si="28"/>
        <v>879</v>
      </c>
      <c r="M515" s="325"/>
      <c r="N515" s="363"/>
      <c r="O515" s="363"/>
      <c r="P515" s="364"/>
    </row>
    <row r="516" s="326" customFormat="1" ht="16.5" hidden="1" customHeight="1" spans="1:16">
      <c r="A516" s="347" t="s">
        <v>490</v>
      </c>
      <c r="B516" s="348"/>
      <c r="C516" s="348"/>
      <c r="D516" s="349"/>
      <c r="E516" s="348"/>
      <c r="F516" s="345">
        <f>C516-E516</f>
        <v>0</v>
      </c>
      <c r="G516" s="346"/>
      <c r="H516" s="348">
        <v>0</v>
      </c>
      <c r="I516" s="345">
        <f>H516-B516</f>
        <v>0</v>
      </c>
      <c r="J516" s="349"/>
      <c r="K516" s="325"/>
      <c r="L516" s="325">
        <f t="shared" si="28"/>
        <v>0</v>
      </c>
      <c r="M516" s="325"/>
      <c r="N516" s="363"/>
      <c r="O516" s="363"/>
      <c r="P516" s="364"/>
    </row>
    <row r="517" s="326" customFormat="1" ht="16.5" customHeight="1" spans="1:16">
      <c r="A517" s="347" t="s">
        <v>491</v>
      </c>
      <c r="B517" s="348">
        <v>331044</v>
      </c>
      <c r="C517" s="348">
        <v>337974</v>
      </c>
      <c r="D517" s="349">
        <f>C517/B517*100</f>
        <v>102.093377315402</v>
      </c>
      <c r="E517" s="348">
        <v>275054</v>
      </c>
      <c r="F517" s="345">
        <f>C517-E517</f>
        <v>62920</v>
      </c>
      <c r="G517" s="346">
        <f>F517/E517*100</f>
        <v>22.8755080820493</v>
      </c>
      <c r="H517" s="348">
        <f>SUM(H518:H525)</f>
        <v>349189.528593</v>
      </c>
      <c r="I517" s="345">
        <f>H517-B517</f>
        <v>18145.528593</v>
      </c>
      <c r="J517" s="349">
        <f>I517/B517*100</f>
        <v>5.48130417497373</v>
      </c>
      <c r="K517" s="325"/>
      <c r="L517" s="325">
        <f t="shared" si="28"/>
        <v>1099403.50737557</v>
      </c>
      <c r="M517" s="325"/>
      <c r="N517" s="363"/>
      <c r="O517" s="363"/>
      <c r="P517" s="364"/>
    </row>
    <row r="518" ht="16.5" customHeight="1" spans="1:16">
      <c r="A518" s="365" t="s">
        <v>492</v>
      </c>
      <c r="B518" s="348"/>
      <c r="C518" s="348"/>
      <c r="D518" s="349"/>
      <c r="E518" s="348"/>
      <c r="F518" s="345"/>
      <c r="G518" s="346"/>
      <c r="H518" s="348">
        <v>31035.525452</v>
      </c>
      <c r="I518" s="345"/>
      <c r="J518" s="349"/>
      <c r="K518" s="325"/>
      <c r="L518" s="325">
        <f t="shared" si="28"/>
        <v>31035.525452</v>
      </c>
      <c r="M518" s="325"/>
      <c r="N518" s="363"/>
      <c r="O518" s="363"/>
      <c r="P518" s="364"/>
    </row>
    <row r="519" ht="16.5" customHeight="1" spans="1:16">
      <c r="A519" s="365" t="s">
        <v>493</v>
      </c>
      <c r="B519" s="348"/>
      <c r="C519" s="348"/>
      <c r="D519" s="349"/>
      <c r="E519" s="348"/>
      <c r="F519" s="345"/>
      <c r="G519" s="346"/>
      <c r="H519" s="348">
        <v>12320.184784</v>
      </c>
      <c r="I519" s="345"/>
      <c r="J519" s="349"/>
      <c r="K519" s="325"/>
      <c r="L519" s="325">
        <f t="shared" si="28"/>
        <v>12320.184784</v>
      </c>
      <c r="M519" s="325"/>
      <c r="N519" s="363"/>
      <c r="O519" s="363"/>
      <c r="P519" s="364"/>
    </row>
    <row r="520" ht="16.5" hidden="1" customHeight="1" spans="1:16">
      <c r="A520" s="365" t="s">
        <v>494</v>
      </c>
      <c r="B520" s="348"/>
      <c r="C520" s="348"/>
      <c r="D520" s="349"/>
      <c r="E520" s="348"/>
      <c r="F520" s="345"/>
      <c r="G520" s="346"/>
      <c r="H520" s="348">
        <v>0</v>
      </c>
      <c r="I520" s="345"/>
      <c r="J520" s="349"/>
      <c r="K520" s="325"/>
      <c r="L520" s="325">
        <f t="shared" ref="L520:L583" si="30">B520+C520+D520+F520+G520+H520+I520+J520</f>
        <v>0</v>
      </c>
      <c r="M520" s="325"/>
      <c r="N520" s="363"/>
      <c r="O520" s="363"/>
      <c r="P520" s="364"/>
    </row>
    <row r="521" ht="16.5" customHeight="1" spans="1:16">
      <c r="A521" s="365" t="s">
        <v>495</v>
      </c>
      <c r="B521" s="348"/>
      <c r="C521" s="348"/>
      <c r="D521" s="349"/>
      <c r="E521" s="348"/>
      <c r="F521" s="345"/>
      <c r="G521" s="346"/>
      <c r="H521" s="348">
        <v>109658.44091</v>
      </c>
      <c r="I521" s="345"/>
      <c r="J521" s="349"/>
      <c r="K521" s="325"/>
      <c r="L521" s="325">
        <f t="shared" si="30"/>
        <v>109658.44091</v>
      </c>
      <c r="M521" s="325"/>
      <c r="N521" s="363"/>
      <c r="O521" s="363"/>
      <c r="P521" s="364"/>
    </row>
    <row r="522" ht="16.5" customHeight="1" spans="1:16">
      <c r="A522" s="365" t="s">
        <v>496</v>
      </c>
      <c r="B522" s="348"/>
      <c r="C522" s="348"/>
      <c r="D522" s="349"/>
      <c r="E522" s="348"/>
      <c r="F522" s="345"/>
      <c r="G522" s="346"/>
      <c r="H522" s="348">
        <v>48406.683975</v>
      </c>
      <c r="I522" s="345"/>
      <c r="J522" s="349"/>
      <c r="K522" s="325"/>
      <c r="L522" s="325">
        <f t="shared" si="30"/>
        <v>48406.683975</v>
      </c>
      <c r="M522" s="325"/>
      <c r="N522" s="363"/>
      <c r="O522" s="363"/>
      <c r="P522" s="364"/>
    </row>
    <row r="523" ht="16.5" customHeight="1" spans="1:16">
      <c r="A523" s="365" t="s">
        <v>497</v>
      </c>
      <c r="B523" s="348"/>
      <c r="C523" s="348"/>
      <c r="D523" s="349"/>
      <c r="E523" s="348"/>
      <c r="F523" s="345"/>
      <c r="G523" s="346"/>
      <c r="H523" s="348">
        <v>147764.188384</v>
      </c>
      <c r="I523" s="345"/>
      <c r="J523" s="349"/>
      <c r="K523" s="325"/>
      <c r="L523" s="325">
        <f t="shared" si="30"/>
        <v>147764.188384</v>
      </c>
      <c r="M523" s="325"/>
      <c r="N523" s="363"/>
      <c r="O523" s="363"/>
      <c r="P523" s="364"/>
    </row>
    <row r="524" ht="16.5" customHeight="1" spans="1:16">
      <c r="A524" s="365" t="s">
        <v>498</v>
      </c>
      <c r="B524" s="348"/>
      <c r="C524" s="348"/>
      <c r="D524" s="349"/>
      <c r="E524" s="348"/>
      <c r="F524" s="345"/>
      <c r="G524" s="346"/>
      <c r="H524" s="348">
        <v>4.505088</v>
      </c>
      <c r="I524" s="345"/>
      <c r="J524" s="349"/>
      <c r="K524" s="325"/>
      <c r="L524" s="325">
        <f t="shared" si="30"/>
        <v>4.505088</v>
      </c>
      <c r="M524" s="325"/>
      <c r="N524" s="363"/>
      <c r="O524" s="363"/>
      <c r="P524" s="364"/>
    </row>
    <row r="525" ht="16.5" hidden="1" customHeight="1" spans="1:16">
      <c r="A525" s="365" t="s">
        <v>499</v>
      </c>
      <c r="B525" s="348"/>
      <c r="C525" s="348">
        <v>0</v>
      </c>
      <c r="D525" s="349"/>
      <c r="E525" s="348"/>
      <c r="F525" s="345"/>
      <c r="G525" s="346"/>
      <c r="H525" s="348">
        <v>0</v>
      </c>
      <c r="I525" s="345"/>
      <c r="J525" s="349"/>
      <c r="K525" s="325"/>
      <c r="L525" s="325">
        <f t="shared" si="30"/>
        <v>0</v>
      </c>
      <c r="M525" s="325"/>
      <c r="N525" s="363"/>
      <c r="O525" s="363"/>
      <c r="P525" s="364"/>
    </row>
    <row r="526" s="326" customFormat="1" ht="16.5" customHeight="1" spans="1:16">
      <c r="A526" s="347" t="s">
        <v>500</v>
      </c>
      <c r="B526" s="348"/>
      <c r="C526" s="348">
        <v>71</v>
      </c>
      <c r="D526" s="349"/>
      <c r="E526" s="348">
        <v>57</v>
      </c>
      <c r="F526" s="345">
        <f>C526-E526</f>
        <v>14</v>
      </c>
      <c r="G526" s="346">
        <f>F526/E526*100</f>
        <v>24.5614035087719</v>
      </c>
      <c r="H526" s="348">
        <f>SUM(H527:H529)</f>
        <v>0</v>
      </c>
      <c r="I526" s="345">
        <f>H526-B526</f>
        <v>0</v>
      </c>
      <c r="J526" s="349"/>
      <c r="K526" s="325"/>
      <c r="L526" s="325">
        <f t="shared" si="30"/>
        <v>109.561403508772</v>
      </c>
      <c r="M526" s="325"/>
      <c r="N526" s="363"/>
      <c r="O526" s="363"/>
      <c r="P526" s="364"/>
    </row>
    <row r="527" s="326" customFormat="1" ht="16.5" hidden="1" customHeight="1" spans="1:16381">
      <c r="A527" s="365" t="s">
        <v>501</v>
      </c>
      <c r="B527" s="348"/>
      <c r="C527" s="348">
        <v>0</v>
      </c>
      <c r="D527" s="349"/>
      <c r="E527" s="348"/>
      <c r="F527" s="345"/>
      <c r="G527" s="346"/>
      <c r="H527" s="348"/>
      <c r="I527" s="345"/>
      <c r="J527" s="349"/>
      <c r="K527" s="325"/>
      <c r="L527" s="325">
        <f t="shared" si="30"/>
        <v>0</v>
      </c>
      <c r="M527" s="325"/>
      <c r="N527" s="363"/>
      <c r="O527" s="363"/>
      <c r="P527" s="364"/>
      <c r="XEZ527" s="332"/>
      <c r="XFA527" s="332"/>
    </row>
    <row r="528" s="326" customFormat="1" ht="16.5" hidden="1" customHeight="1" spans="1:16381">
      <c r="A528" s="365" t="s">
        <v>502</v>
      </c>
      <c r="B528" s="348"/>
      <c r="C528" s="348">
        <v>0</v>
      </c>
      <c r="D528" s="349"/>
      <c r="E528" s="348"/>
      <c r="F528" s="345"/>
      <c r="G528" s="346"/>
      <c r="H528" s="348"/>
      <c r="I528" s="345"/>
      <c r="J528" s="349"/>
      <c r="K528" s="325"/>
      <c r="L528" s="325">
        <f t="shared" si="30"/>
        <v>0</v>
      </c>
      <c r="M528" s="325"/>
      <c r="N528" s="363"/>
      <c r="O528" s="363"/>
      <c r="P528" s="364"/>
      <c r="XEZ528" s="332"/>
      <c r="XFA528" s="332"/>
    </row>
    <row r="529" s="326" customFormat="1" ht="16.5" hidden="1" customHeight="1" spans="1:16381">
      <c r="A529" s="365" t="s">
        <v>503</v>
      </c>
      <c r="B529" s="348"/>
      <c r="C529" s="348">
        <v>0</v>
      </c>
      <c r="D529" s="349"/>
      <c r="E529" s="348"/>
      <c r="F529" s="345"/>
      <c r="G529" s="346"/>
      <c r="H529" s="348"/>
      <c r="I529" s="345"/>
      <c r="J529" s="349"/>
      <c r="K529" s="325"/>
      <c r="L529" s="325">
        <f t="shared" si="30"/>
        <v>0</v>
      </c>
      <c r="M529" s="325"/>
      <c r="N529" s="363"/>
      <c r="O529" s="363"/>
      <c r="P529" s="364"/>
      <c r="XEZ529" s="332"/>
      <c r="XFA529" s="332"/>
    </row>
    <row r="530" s="326" customFormat="1" ht="16.5" customHeight="1" spans="1:16">
      <c r="A530" s="347" t="s">
        <v>504</v>
      </c>
      <c r="B530" s="348">
        <v>23171</v>
      </c>
      <c r="C530" s="348">
        <v>26251</v>
      </c>
      <c r="D530" s="349">
        <f>C530/B530*100</f>
        <v>113.292477666048</v>
      </c>
      <c r="E530" s="348">
        <v>25875</v>
      </c>
      <c r="F530" s="345">
        <f>C530-E530</f>
        <v>376</v>
      </c>
      <c r="G530" s="346">
        <f>F530/E530*100</f>
        <v>1.45314009661836</v>
      </c>
      <c r="H530" s="348">
        <f>SUM(H531:H539)</f>
        <v>22804.999352</v>
      </c>
      <c r="I530" s="345">
        <f>H530-B530</f>
        <v>-366.000648000001</v>
      </c>
      <c r="J530" s="349">
        <f>I530/B530*100</f>
        <v>-1.5795634543179</v>
      </c>
      <c r="K530" s="325"/>
      <c r="L530" s="325">
        <f t="shared" si="30"/>
        <v>72350.1647583083</v>
      </c>
      <c r="M530" s="325"/>
      <c r="N530" s="363"/>
      <c r="O530" s="363"/>
      <c r="P530" s="364"/>
    </row>
    <row r="531" ht="16.5" customHeight="1" spans="1:16">
      <c r="A531" s="365" t="s">
        <v>505</v>
      </c>
      <c r="B531" s="348"/>
      <c r="C531" s="348">
        <v>0</v>
      </c>
      <c r="D531" s="349"/>
      <c r="E531" s="348"/>
      <c r="F531" s="345"/>
      <c r="G531" s="346"/>
      <c r="H531" s="348">
        <v>4879.769794</v>
      </c>
      <c r="I531" s="345"/>
      <c r="J531" s="349"/>
      <c r="K531" s="325"/>
      <c r="L531" s="325">
        <f t="shared" si="30"/>
        <v>4879.769794</v>
      </c>
      <c r="M531" s="325"/>
      <c r="N531" s="363"/>
      <c r="O531" s="363"/>
      <c r="P531" s="364"/>
    </row>
    <row r="532" ht="16.5" customHeight="1" spans="1:16">
      <c r="A532" s="365" t="s">
        <v>506</v>
      </c>
      <c r="B532" s="348"/>
      <c r="C532" s="348"/>
      <c r="D532" s="349"/>
      <c r="E532" s="348"/>
      <c r="F532" s="345"/>
      <c r="G532" s="346"/>
      <c r="H532" s="348">
        <v>1613.222</v>
      </c>
      <c r="I532" s="345"/>
      <c r="J532" s="349"/>
      <c r="K532" s="325"/>
      <c r="L532" s="325">
        <f t="shared" si="30"/>
        <v>1613.222</v>
      </c>
      <c r="M532" s="325"/>
      <c r="N532" s="363"/>
      <c r="O532" s="363"/>
      <c r="P532" s="364"/>
    </row>
    <row r="533" ht="16.5" customHeight="1" spans="1:16">
      <c r="A533" s="365" t="s">
        <v>507</v>
      </c>
      <c r="B533" s="348"/>
      <c r="C533" s="348"/>
      <c r="D533" s="349"/>
      <c r="E533" s="348"/>
      <c r="F533" s="345"/>
      <c r="G533" s="346"/>
      <c r="H533" s="348">
        <v>3320.949158</v>
      </c>
      <c r="I533" s="345"/>
      <c r="J533" s="349"/>
      <c r="K533" s="325"/>
      <c r="L533" s="325">
        <f t="shared" si="30"/>
        <v>3320.949158</v>
      </c>
      <c r="M533" s="325"/>
      <c r="N533" s="363"/>
      <c r="O533" s="363"/>
      <c r="P533" s="364"/>
    </row>
    <row r="534" ht="16.5" customHeight="1" spans="1:16">
      <c r="A534" s="365" t="s">
        <v>508</v>
      </c>
      <c r="B534" s="348"/>
      <c r="C534" s="348"/>
      <c r="D534" s="349"/>
      <c r="E534" s="348"/>
      <c r="F534" s="345"/>
      <c r="G534" s="346"/>
      <c r="H534" s="348">
        <v>3286.672</v>
      </c>
      <c r="I534" s="345"/>
      <c r="J534" s="349"/>
      <c r="K534" s="325"/>
      <c r="L534" s="325">
        <f t="shared" si="30"/>
        <v>3286.672</v>
      </c>
      <c r="M534" s="325"/>
      <c r="N534" s="363"/>
      <c r="O534" s="363"/>
      <c r="P534" s="364"/>
    </row>
    <row r="535" ht="16.5" customHeight="1" spans="1:16">
      <c r="A535" s="365" t="s">
        <v>509</v>
      </c>
      <c r="B535" s="348"/>
      <c r="C535" s="348"/>
      <c r="D535" s="349"/>
      <c r="E535" s="348"/>
      <c r="F535" s="345"/>
      <c r="G535" s="346"/>
      <c r="H535" s="348">
        <v>21</v>
      </c>
      <c r="I535" s="345"/>
      <c r="J535" s="349"/>
      <c r="K535" s="325"/>
      <c r="L535" s="325">
        <f t="shared" si="30"/>
        <v>21</v>
      </c>
      <c r="M535" s="325"/>
      <c r="N535" s="363"/>
      <c r="O535" s="363"/>
      <c r="P535" s="364"/>
    </row>
    <row r="536" ht="16.5" customHeight="1" spans="1:16">
      <c r="A536" s="365" t="s">
        <v>510</v>
      </c>
      <c r="B536" s="348"/>
      <c r="C536" s="348"/>
      <c r="D536" s="349"/>
      <c r="E536" s="348"/>
      <c r="F536" s="345"/>
      <c r="G536" s="346"/>
      <c r="H536" s="348">
        <v>1129.9</v>
      </c>
      <c r="I536" s="345"/>
      <c r="J536" s="349"/>
      <c r="K536" s="325"/>
      <c r="L536" s="325">
        <f t="shared" si="30"/>
        <v>1129.9</v>
      </c>
      <c r="M536" s="325"/>
      <c r="N536" s="363"/>
      <c r="O536" s="363"/>
      <c r="P536" s="364"/>
    </row>
    <row r="537" ht="16.5" customHeight="1" spans="1:16">
      <c r="A537" s="365" t="s">
        <v>511</v>
      </c>
      <c r="B537" s="348"/>
      <c r="C537" s="348"/>
      <c r="D537" s="349"/>
      <c r="E537" s="348"/>
      <c r="F537" s="345"/>
      <c r="G537" s="346"/>
      <c r="H537" s="348">
        <v>50</v>
      </c>
      <c r="I537" s="345"/>
      <c r="J537" s="349"/>
      <c r="K537" s="325"/>
      <c r="L537" s="325">
        <f t="shared" si="30"/>
        <v>50</v>
      </c>
      <c r="M537" s="325"/>
      <c r="N537" s="363"/>
      <c r="O537" s="363"/>
      <c r="P537" s="364"/>
    </row>
    <row r="538" ht="16.5" customHeight="1" spans="1:16">
      <c r="A538" s="365" t="s">
        <v>512</v>
      </c>
      <c r="B538" s="348"/>
      <c r="C538" s="348">
        <v>0</v>
      </c>
      <c r="D538" s="349"/>
      <c r="E538" s="348"/>
      <c r="F538" s="345"/>
      <c r="G538" s="346"/>
      <c r="H538" s="348">
        <v>584.0864</v>
      </c>
      <c r="I538" s="345"/>
      <c r="J538" s="349"/>
      <c r="K538" s="325"/>
      <c r="L538" s="325">
        <f t="shared" si="30"/>
        <v>584.0864</v>
      </c>
      <c r="M538" s="325"/>
      <c r="N538" s="363"/>
      <c r="O538" s="363"/>
      <c r="P538" s="364"/>
    </row>
    <row r="539" ht="16.5" customHeight="1" spans="1:16">
      <c r="A539" s="365" t="s">
        <v>513</v>
      </c>
      <c r="B539" s="348"/>
      <c r="C539" s="348"/>
      <c r="D539" s="349"/>
      <c r="E539" s="348"/>
      <c r="F539" s="345"/>
      <c r="G539" s="346"/>
      <c r="H539" s="348">
        <v>7919.4</v>
      </c>
      <c r="I539" s="345"/>
      <c r="J539" s="349"/>
      <c r="K539" s="325"/>
      <c r="L539" s="325">
        <f t="shared" si="30"/>
        <v>7919.4</v>
      </c>
      <c r="M539" s="325"/>
      <c r="N539" s="363"/>
      <c r="O539" s="363"/>
      <c r="P539" s="364"/>
    </row>
    <row r="540" s="326" customFormat="1" ht="16.5" customHeight="1" spans="1:16">
      <c r="A540" s="347" t="s">
        <v>514</v>
      </c>
      <c r="B540" s="348">
        <v>38643</v>
      </c>
      <c r="C540" s="348">
        <v>40675</v>
      </c>
      <c r="D540" s="349">
        <f>C540/B540*100</f>
        <v>105.258390911679</v>
      </c>
      <c r="E540" s="348">
        <v>37461</v>
      </c>
      <c r="F540" s="345">
        <f>C540-E540</f>
        <v>3214</v>
      </c>
      <c r="G540" s="346">
        <f>F540/E540*100</f>
        <v>8.57958943968394</v>
      </c>
      <c r="H540" s="348">
        <f>SUM(H541:H548)</f>
        <v>42560.015</v>
      </c>
      <c r="I540" s="345">
        <f>H540-B540</f>
        <v>3917.015</v>
      </c>
      <c r="J540" s="349">
        <f>I540/B540*100</f>
        <v>10.1364153921797</v>
      </c>
      <c r="K540" s="325"/>
      <c r="L540" s="325">
        <f t="shared" si="30"/>
        <v>129133.004395744</v>
      </c>
      <c r="M540" s="325"/>
      <c r="N540" s="363"/>
      <c r="O540" s="363"/>
      <c r="P540" s="364"/>
    </row>
    <row r="541" ht="16.5" customHeight="1" spans="1:16">
      <c r="A541" s="365" t="s">
        <v>515</v>
      </c>
      <c r="B541" s="348"/>
      <c r="C541" s="348"/>
      <c r="D541" s="349"/>
      <c r="E541" s="348"/>
      <c r="F541" s="345"/>
      <c r="G541" s="346"/>
      <c r="H541" s="348">
        <v>4634.166</v>
      </c>
      <c r="I541" s="345"/>
      <c r="J541" s="349"/>
      <c r="K541" s="325"/>
      <c r="L541" s="325">
        <f t="shared" si="30"/>
        <v>4634.166</v>
      </c>
      <c r="M541" s="325"/>
      <c r="N541" s="363"/>
      <c r="O541" s="363"/>
      <c r="P541" s="364"/>
    </row>
    <row r="542" ht="16.5" customHeight="1" spans="1:16">
      <c r="A542" s="365" t="s">
        <v>516</v>
      </c>
      <c r="B542" s="348"/>
      <c r="C542" s="348"/>
      <c r="D542" s="349"/>
      <c r="E542" s="348"/>
      <c r="F542" s="345"/>
      <c r="G542" s="346"/>
      <c r="H542" s="348">
        <v>626.349</v>
      </c>
      <c r="I542" s="345"/>
      <c r="J542" s="349"/>
      <c r="K542" s="325"/>
      <c r="L542" s="325">
        <f t="shared" si="30"/>
        <v>626.349</v>
      </c>
      <c r="M542" s="325"/>
      <c r="N542" s="363"/>
      <c r="O542" s="363"/>
      <c r="P542" s="364"/>
    </row>
    <row r="543" ht="16.5" customHeight="1" spans="1:16">
      <c r="A543" s="365" t="s">
        <v>517</v>
      </c>
      <c r="B543" s="348"/>
      <c r="C543" s="348"/>
      <c r="D543" s="349"/>
      <c r="E543" s="348"/>
      <c r="F543" s="345"/>
      <c r="G543" s="346"/>
      <c r="H543" s="348">
        <v>2997</v>
      </c>
      <c r="I543" s="345"/>
      <c r="J543" s="349"/>
      <c r="K543" s="325"/>
      <c r="L543" s="325">
        <f t="shared" si="30"/>
        <v>2997</v>
      </c>
      <c r="M543" s="325"/>
      <c r="N543" s="363"/>
      <c r="O543" s="363"/>
      <c r="P543" s="364"/>
    </row>
    <row r="544" ht="16.5" customHeight="1" spans="1:16">
      <c r="A544" s="365" t="s">
        <v>518</v>
      </c>
      <c r="B544" s="348"/>
      <c r="C544" s="348"/>
      <c r="D544" s="349"/>
      <c r="E544" s="348"/>
      <c r="F544" s="345"/>
      <c r="G544" s="346"/>
      <c r="H544" s="348">
        <v>10147</v>
      </c>
      <c r="I544" s="345"/>
      <c r="J544" s="349"/>
      <c r="K544" s="325"/>
      <c r="L544" s="325">
        <f t="shared" si="30"/>
        <v>10147</v>
      </c>
      <c r="M544" s="325"/>
      <c r="N544" s="363"/>
      <c r="O544" s="363"/>
      <c r="P544" s="364"/>
    </row>
    <row r="545" ht="16.5" customHeight="1" spans="1:16">
      <c r="A545" s="365" t="s">
        <v>519</v>
      </c>
      <c r="B545" s="348"/>
      <c r="C545" s="348"/>
      <c r="D545" s="349"/>
      <c r="E545" s="348"/>
      <c r="F545" s="345"/>
      <c r="G545" s="346"/>
      <c r="H545" s="348">
        <v>2865</v>
      </c>
      <c r="I545" s="345"/>
      <c r="J545" s="349"/>
      <c r="K545" s="325"/>
      <c r="L545" s="325">
        <f t="shared" si="30"/>
        <v>2865</v>
      </c>
      <c r="M545" s="325"/>
      <c r="N545" s="363"/>
      <c r="O545" s="363"/>
      <c r="P545" s="364"/>
    </row>
    <row r="546" ht="16.5" customHeight="1" spans="1:16">
      <c r="A546" s="365" t="s">
        <v>520</v>
      </c>
      <c r="B546" s="348"/>
      <c r="C546" s="348"/>
      <c r="D546" s="349"/>
      <c r="E546" s="348"/>
      <c r="F546" s="345"/>
      <c r="G546" s="346"/>
      <c r="H546" s="348">
        <v>357</v>
      </c>
      <c r="I546" s="345"/>
      <c r="J546" s="349"/>
      <c r="K546" s="325"/>
      <c r="L546" s="325">
        <f t="shared" si="30"/>
        <v>357</v>
      </c>
      <c r="M546" s="325"/>
      <c r="N546" s="363"/>
      <c r="O546" s="363"/>
      <c r="P546" s="364"/>
    </row>
    <row r="547" ht="16.5" customHeight="1" spans="1:16">
      <c r="A547" s="365" t="s">
        <v>521</v>
      </c>
      <c r="B547" s="348"/>
      <c r="C547" s="348"/>
      <c r="D547" s="349"/>
      <c r="E547" s="348"/>
      <c r="F547" s="345"/>
      <c r="G547" s="346"/>
      <c r="H547" s="348">
        <v>501</v>
      </c>
      <c r="I547" s="345"/>
      <c r="J547" s="349"/>
      <c r="K547" s="325"/>
      <c r="L547" s="325">
        <f t="shared" si="30"/>
        <v>501</v>
      </c>
      <c r="M547" s="325"/>
      <c r="N547" s="363"/>
      <c r="O547" s="363"/>
      <c r="P547" s="364"/>
    </row>
    <row r="548" ht="16.5" customHeight="1" spans="1:16">
      <c r="A548" s="365" t="s">
        <v>522</v>
      </c>
      <c r="B548" s="348"/>
      <c r="C548" s="348"/>
      <c r="D548" s="349"/>
      <c r="E548" s="348"/>
      <c r="F548" s="345"/>
      <c r="G548" s="346"/>
      <c r="H548" s="348">
        <v>20432.5</v>
      </c>
      <c r="I548" s="345"/>
      <c r="J548" s="349"/>
      <c r="K548" s="325"/>
      <c r="L548" s="325">
        <f t="shared" si="30"/>
        <v>20432.5</v>
      </c>
      <c r="M548" s="325"/>
      <c r="N548" s="363"/>
      <c r="O548" s="363"/>
      <c r="P548" s="364"/>
    </row>
    <row r="549" s="326" customFormat="1" ht="16.5" customHeight="1" spans="1:16">
      <c r="A549" s="347" t="s">
        <v>523</v>
      </c>
      <c r="B549" s="348">
        <v>6693</v>
      </c>
      <c r="C549" s="348">
        <v>6194</v>
      </c>
      <c r="D549" s="349">
        <f>C549/B549*100</f>
        <v>92.5444494247721</v>
      </c>
      <c r="E549" s="348">
        <v>6115</v>
      </c>
      <c r="F549" s="345">
        <f>C549-E549</f>
        <v>79</v>
      </c>
      <c r="G549" s="346">
        <f>F549/E549*100</f>
        <v>1.29190515126738</v>
      </c>
      <c r="H549" s="348">
        <f>SUM(H550:H555)</f>
        <v>8061.100057</v>
      </c>
      <c r="I549" s="345">
        <f>H549-B549</f>
        <v>1368.100057</v>
      </c>
      <c r="J549" s="349">
        <f>I549/B549*100</f>
        <v>20.4407598535784</v>
      </c>
      <c r="K549" s="325"/>
      <c r="L549" s="325">
        <f t="shared" si="30"/>
        <v>22509.4772284296</v>
      </c>
      <c r="M549" s="325"/>
      <c r="N549" s="363"/>
      <c r="O549" s="363"/>
      <c r="P549" s="364"/>
    </row>
    <row r="550" ht="16.5" customHeight="1" spans="1:16">
      <c r="A550" s="347" t="s">
        <v>524</v>
      </c>
      <c r="B550" s="348"/>
      <c r="C550" s="348"/>
      <c r="D550" s="349"/>
      <c r="E550" s="348"/>
      <c r="F550" s="345"/>
      <c r="G550" s="346"/>
      <c r="H550" s="348">
        <v>4363</v>
      </c>
      <c r="I550" s="345"/>
      <c r="J550" s="349"/>
      <c r="K550" s="325"/>
      <c r="L550" s="325">
        <f t="shared" si="30"/>
        <v>4363</v>
      </c>
      <c r="M550" s="325"/>
      <c r="N550" s="363"/>
      <c r="O550" s="363"/>
      <c r="P550" s="364"/>
    </row>
    <row r="551" ht="16.5" customHeight="1" spans="1:16">
      <c r="A551" s="347" t="s">
        <v>525</v>
      </c>
      <c r="B551" s="348"/>
      <c r="C551" s="348"/>
      <c r="D551" s="349"/>
      <c r="E551" s="348"/>
      <c r="F551" s="345"/>
      <c r="G551" s="346"/>
      <c r="H551" s="348">
        <v>859.061602</v>
      </c>
      <c r="I551" s="345"/>
      <c r="J551" s="349"/>
      <c r="K551" s="325"/>
      <c r="L551" s="325">
        <f t="shared" si="30"/>
        <v>859.061602</v>
      </c>
      <c r="M551" s="325"/>
      <c r="N551" s="363"/>
      <c r="O551" s="363"/>
      <c r="P551" s="364"/>
    </row>
    <row r="552" ht="16.5" customHeight="1" spans="1:16">
      <c r="A552" s="347" t="s">
        <v>526</v>
      </c>
      <c r="B552" s="348"/>
      <c r="C552" s="348"/>
      <c r="D552" s="349"/>
      <c r="E552" s="348"/>
      <c r="F552" s="345"/>
      <c r="G552" s="346"/>
      <c r="H552" s="348">
        <v>319.200955</v>
      </c>
      <c r="I552" s="345"/>
      <c r="J552" s="349"/>
      <c r="K552" s="325"/>
      <c r="L552" s="325">
        <f t="shared" si="30"/>
        <v>319.200955</v>
      </c>
      <c r="M552" s="325"/>
      <c r="N552" s="363"/>
      <c r="O552" s="363"/>
      <c r="P552" s="364"/>
    </row>
    <row r="553" ht="16.5" customHeight="1" spans="1:16">
      <c r="A553" s="347" t="s">
        <v>527</v>
      </c>
      <c r="B553" s="348"/>
      <c r="C553" s="348"/>
      <c r="D553" s="349"/>
      <c r="E553" s="348"/>
      <c r="F553" s="345"/>
      <c r="G553" s="346"/>
      <c r="H553" s="348">
        <v>148.369</v>
      </c>
      <c r="I553" s="345"/>
      <c r="J553" s="349"/>
      <c r="K553" s="325"/>
      <c r="L553" s="325">
        <f t="shared" si="30"/>
        <v>148.369</v>
      </c>
      <c r="M553" s="325"/>
      <c r="N553" s="363"/>
      <c r="O553" s="363"/>
      <c r="P553" s="364"/>
    </row>
    <row r="554" ht="16.5" customHeight="1" spans="1:16">
      <c r="A554" s="347" t="s">
        <v>528</v>
      </c>
      <c r="B554" s="348"/>
      <c r="C554" s="348"/>
      <c r="D554" s="349"/>
      <c r="E554" s="348"/>
      <c r="F554" s="345"/>
      <c r="G554" s="346"/>
      <c r="H554" s="348">
        <v>1697.7398</v>
      </c>
      <c r="I554" s="345"/>
      <c r="J554" s="349"/>
      <c r="K554" s="325"/>
      <c r="L554" s="325">
        <f t="shared" si="30"/>
        <v>1697.7398</v>
      </c>
      <c r="M554" s="325"/>
      <c r="N554" s="363"/>
      <c r="O554" s="363"/>
      <c r="P554" s="364"/>
    </row>
    <row r="555" ht="16.5" customHeight="1" spans="1:16">
      <c r="A555" s="347" t="s">
        <v>529</v>
      </c>
      <c r="B555" s="348"/>
      <c r="C555" s="348"/>
      <c r="D555" s="349"/>
      <c r="E555" s="348"/>
      <c r="F555" s="345"/>
      <c r="G555" s="346"/>
      <c r="H555" s="348">
        <v>673.7287</v>
      </c>
      <c r="I555" s="345"/>
      <c r="J555" s="349"/>
      <c r="K555" s="325"/>
      <c r="L555" s="325">
        <f t="shared" si="30"/>
        <v>673.7287</v>
      </c>
      <c r="M555" s="325"/>
      <c r="N555" s="363"/>
      <c r="O555" s="363"/>
      <c r="P555" s="364"/>
    </row>
    <row r="556" s="326" customFormat="1" ht="16.5" customHeight="1" spans="1:16">
      <c r="A556" s="347" t="s">
        <v>530</v>
      </c>
      <c r="B556" s="348">
        <v>17150</v>
      </c>
      <c r="C556" s="348">
        <v>22115</v>
      </c>
      <c r="D556" s="349">
        <f>C556/B556*100</f>
        <v>128.950437317784</v>
      </c>
      <c r="E556" s="348">
        <v>23965</v>
      </c>
      <c r="F556" s="345">
        <f>C556-E556</f>
        <v>-1850</v>
      </c>
      <c r="G556" s="346">
        <f>F556/E556*100</f>
        <v>-7.71959107031087</v>
      </c>
      <c r="H556" s="348">
        <f>SUM(H557:H563)</f>
        <v>18275.898559</v>
      </c>
      <c r="I556" s="345">
        <f>H556-B556</f>
        <v>1125.898559</v>
      </c>
      <c r="J556" s="349">
        <f>I556/B556*100</f>
        <v>6.56500617492712</v>
      </c>
      <c r="K556" s="325"/>
      <c r="L556" s="325">
        <f t="shared" si="30"/>
        <v>56944.5929704224</v>
      </c>
      <c r="M556" s="325"/>
      <c r="N556" s="363"/>
      <c r="O556" s="363"/>
      <c r="P556" s="364"/>
    </row>
    <row r="557" ht="16.5" customHeight="1" spans="1:16">
      <c r="A557" s="347" t="s">
        <v>531</v>
      </c>
      <c r="B557" s="348"/>
      <c r="C557" s="348"/>
      <c r="D557" s="349"/>
      <c r="E557" s="348"/>
      <c r="F557" s="345"/>
      <c r="G557" s="346"/>
      <c r="H557" s="348">
        <f>5411.375078-1000</f>
        <v>4411.375078</v>
      </c>
      <c r="I557" s="345"/>
      <c r="J557" s="349"/>
      <c r="K557" s="325"/>
      <c r="L557" s="325">
        <f t="shared" si="30"/>
        <v>4411.375078</v>
      </c>
      <c r="M557" s="325"/>
      <c r="N557" s="363"/>
      <c r="O557" s="363"/>
      <c r="P557" s="364"/>
    </row>
    <row r="558" ht="16.5" customHeight="1" spans="1:16">
      <c r="A558" s="347" t="s">
        <v>532</v>
      </c>
      <c r="B558" s="348"/>
      <c r="C558" s="348"/>
      <c r="D558" s="349"/>
      <c r="E558" s="348"/>
      <c r="F558" s="345"/>
      <c r="G558" s="346"/>
      <c r="H558" s="348">
        <v>8762</v>
      </c>
      <c r="I558" s="345"/>
      <c r="J558" s="349"/>
      <c r="K558" s="325"/>
      <c r="L558" s="325">
        <f t="shared" si="30"/>
        <v>8762</v>
      </c>
      <c r="M558" s="325"/>
      <c r="N558" s="363"/>
      <c r="O558" s="363"/>
      <c r="P558" s="364"/>
    </row>
    <row r="559" ht="16.5" hidden="1" customHeight="1" spans="1:16">
      <c r="A559" s="347" t="s">
        <v>533</v>
      </c>
      <c r="B559" s="348"/>
      <c r="C559" s="348"/>
      <c r="D559" s="349"/>
      <c r="E559" s="348"/>
      <c r="F559" s="345"/>
      <c r="G559" s="346"/>
      <c r="H559" s="348">
        <v>0</v>
      </c>
      <c r="I559" s="345"/>
      <c r="J559" s="349"/>
      <c r="K559" s="325"/>
      <c r="L559" s="325">
        <f t="shared" si="30"/>
        <v>0</v>
      </c>
      <c r="M559" s="325"/>
      <c r="N559" s="363"/>
      <c r="O559" s="363"/>
      <c r="P559" s="364"/>
    </row>
    <row r="560" ht="16.5" customHeight="1" spans="1:16">
      <c r="A560" s="347" t="s">
        <v>534</v>
      </c>
      <c r="B560" s="348"/>
      <c r="C560" s="348"/>
      <c r="D560" s="349"/>
      <c r="E560" s="348"/>
      <c r="F560" s="345"/>
      <c r="G560" s="346"/>
      <c r="H560" s="348">
        <v>2309.92728</v>
      </c>
      <c r="I560" s="345"/>
      <c r="J560" s="349"/>
      <c r="K560" s="325"/>
      <c r="L560" s="325">
        <f t="shared" si="30"/>
        <v>2309.92728</v>
      </c>
      <c r="M560" s="325"/>
      <c r="N560" s="363"/>
      <c r="O560" s="363"/>
      <c r="P560" s="364"/>
    </row>
    <row r="561" ht="16.5" customHeight="1" spans="1:16">
      <c r="A561" s="347" t="s">
        <v>535</v>
      </c>
      <c r="B561" s="348"/>
      <c r="C561" s="348"/>
      <c r="D561" s="349"/>
      <c r="E561" s="348"/>
      <c r="F561" s="345"/>
      <c r="G561" s="346"/>
      <c r="H561" s="348">
        <v>1253.938201</v>
      </c>
      <c r="I561" s="345"/>
      <c r="J561" s="349"/>
      <c r="K561" s="325"/>
      <c r="L561" s="325">
        <f t="shared" si="30"/>
        <v>1253.938201</v>
      </c>
      <c r="M561" s="325"/>
      <c r="N561" s="363"/>
      <c r="O561" s="363"/>
      <c r="P561" s="364"/>
    </row>
    <row r="562" ht="16.5" customHeight="1" spans="1:16">
      <c r="A562" s="347" t="s">
        <v>536</v>
      </c>
      <c r="B562" s="348"/>
      <c r="C562" s="348"/>
      <c r="D562" s="349"/>
      <c r="E562" s="348"/>
      <c r="F562" s="345"/>
      <c r="G562" s="346"/>
      <c r="H562" s="348">
        <v>30</v>
      </c>
      <c r="I562" s="345"/>
      <c r="J562" s="349"/>
      <c r="K562" s="325"/>
      <c r="L562" s="325">
        <f t="shared" si="30"/>
        <v>30</v>
      </c>
      <c r="M562" s="325"/>
      <c r="N562" s="363"/>
      <c r="O562" s="363"/>
      <c r="P562" s="364"/>
    </row>
    <row r="563" ht="16.5" customHeight="1" spans="1:16">
      <c r="A563" s="347" t="s">
        <v>537</v>
      </c>
      <c r="B563" s="348"/>
      <c r="C563" s="348"/>
      <c r="D563" s="349"/>
      <c r="E563" s="348"/>
      <c r="F563" s="345"/>
      <c r="G563" s="346"/>
      <c r="H563" s="348">
        <f>508.658+1000</f>
        <v>1508.658</v>
      </c>
      <c r="I563" s="345"/>
      <c r="J563" s="349"/>
      <c r="K563" s="325"/>
      <c r="L563" s="325">
        <f t="shared" si="30"/>
        <v>1508.658</v>
      </c>
      <c r="M563" s="325"/>
      <c r="N563" s="363"/>
      <c r="O563" s="363"/>
      <c r="P563" s="364"/>
    </row>
    <row r="564" s="326" customFormat="1" ht="16.5" customHeight="1" spans="1:16">
      <c r="A564" s="347" t="s">
        <v>538</v>
      </c>
      <c r="B564" s="348">
        <v>8732</v>
      </c>
      <c r="C564" s="348">
        <v>21216</v>
      </c>
      <c r="D564" s="349">
        <f>C564/B564*100</f>
        <v>242.968392120935</v>
      </c>
      <c r="E564" s="348">
        <v>19122</v>
      </c>
      <c r="F564" s="345">
        <f>C564-E564</f>
        <v>2094</v>
      </c>
      <c r="G564" s="346">
        <f>F564/E564*100</f>
        <v>10.9507373705679</v>
      </c>
      <c r="H564" s="348">
        <f>SUM(H565:H572)</f>
        <v>9033.933751</v>
      </c>
      <c r="I564" s="345">
        <f>H564-B564</f>
        <v>301.933751</v>
      </c>
      <c r="J564" s="349">
        <f>I564/B564*100</f>
        <v>3.45778459688503</v>
      </c>
      <c r="K564" s="325"/>
      <c r="L564" s="325">
        <f t="shared" si="30"/>
        <v>41635.2444160884</v>
      </c>
      <c r="M564" s="325"/>
      <c r="N564" s="363"/>
      <c r="O564" s="363"/>
      <c r="P564" s="364"/>
    </row>
    <row r="565" ht="16.5" customHeight="1" spans="1:16">
      <c r="A565" s="347" t="s">
        <v>155</v>
      </c>
      <c r="B565" s="348"/>
      <c r="C565" s="348"/>
      <c r="D565" s="349"/>
      <c r="E565" s="348"/>
      <c r="F565" s="345"/>
      <c r="G565" s="346"/>
      <c r="H565" s="348">
        <v>1431.123318</v>
      </c>
      <c r="I565" s="345"/>
      <c r="J565" s="349"/>
      <c r="K565" s="325"/>
      <c r="L565" s="325">
        <f t="shared" si="30"/>
        <v>1431.123318</v>
      </c>
      <c r="M565" s="325"/>
      <c r="N565" s="363"/>
      <c r="O565" s="363"/>
      <c r="P565" s="364"/>
    </row>
    <row r="566" ht="16.5" customHeight="1" spans="1:16">
      <c r="A566" s="347" t="s">
        <v>156</v>
      </c>
      <c r="B566" s="348"/>
      <c r="C566" s="348"/>
      <c r="D566" s="349"/>
      <c r="E566" s="348"/>
      <c r="F566" s="345"/>
      <c r="G566" s="346"/>
      <c r="H566" s="348">
        <v>20</v>
      </c>
      <c r="I566" s="345"/>
      <c r="J566" s="349"/>
      <c r="K566" s="325"/>
      <c r="L566" s="325">
        <f t="shared" si="30"/>
        <v>20</v>
      </c>
      <c r="M566" s="325"/>
      <c r="N566" s="363"/>
      <c r="O566" s="363"/>
      <c r="P566" s="364"/>
    </row>
    <row r="567" ht="16.5" hidden="1" customHeight="1" spans="1:16">
      <c r="A567" s="347" t="s">
        <v>157</v>
      </c>
      <c r="B567" s="348"/>
      <c r="C567" s="348"/>
      <c r="D567" s="349"/>
      <c r="E567" s="348"/>
      <c r="F567" s="345"/>
      <c r="G567" s="346"/>
      <c r="H567" s="348">
        <v>0</v>
      </c>
      <c r="I567" s="345"/>
      <c r="J567" s="349"/>
      <c r="K567" s="325"/>
      <c r="L567" s="325">
        <f t="shared" si="30"/>
        <v>0</v>
      </c>
      <c r="M567" s="325"/>
      <c r="N567" s="363"/>
      <c r="O567" s="363"/>
      <c r="P567" s="364"/>
    </row>
    <row r="568" ht="16.5" customHeight="1" spans="1:16">
      <c r="A568" s="347" t="s">
        <v>539</v>
      </c>
      <c r="B568" s="348"/>
      <c r="C568" s="348"/>
      <c r="D568" s="349"/>
      <c r="E568" s="348"/>
      <c r="F568" s="345"/>
      <c r="G568" s="346"/>
      <c r="H568" s="348">
        <v>1198.5</v>
      </c>
      <c r="I568" s="345"/>
      <c r="J568" s="349"/>
      <c r="K568" s="325"/>
      <c r="L568" s="325">
        <f t="shared" si="30"/>
        <v>1198.5</v>
      </c>
      <c r="M568" s="325"/>
      <c r="N568" s="363"/>
      <c r="O568" s="363"/>
      <c r="P568" s="364"/>
    </row>
    <row r="569" ht="16.5" customHeight="1" spans="1:16">
      <c r="A569" s="347" t="s">
        <v>540</v>
      </c>
      <c r="B569" s="348"/>
      <c r="C569" s="348"/>
      <c r="D569" s="349"/>
      <c r="E569" s="348"/>
      <c r="F569" s="345"/>
      <c r="G569" s="346"/>
      <c r="H569" s="348">
        <v>623.05</v>
      </c>
      <c r="I569" s="345"/>
      <c r="J569" s="349"/>
      <c r="K569" s="325"/>
      <c r="L569" s="325">
        <f t="shared" si="30"/>
        <v>623.05</v>
      </c>
      <c r="M569" s="325"/>
      <c r="N569" s="363"/>
      <c r="O569" s="363"/>
      <c r="P569" s="364"/>
    </row>
    <row r="570" ht="16.5" customHeight="1" spans="1:16">
      <c r="A570" s="347" t="s">
        <v>541</v>
      </c>
      <c r="B570" s="348"/>
      <c r="C570" s="348"/>
      <c r="D570" s="349"/>
      <c r="E570" s="348"/>
      <c r="F570" s="345"/>
      <c r="G570" s="346"/>
      <c r="H570" s="348">
        <v>100</v>
      </c>
      <c r="I570" s="345"/>
      <c r="J570" s="349"/>
      <c r="K570" s="325"/>
      <c r="L570" s="325">
        <f t="shared" si="30"/>
        <v>100</v>
      </c>
      <c r="M570" s="325"/>
      <c r="N570" s="363"/>
      <c r="O570" s="363"/>
      <c r="P570" s="364"/>
    </row>
    <row r="571" ht="16.5" customHeight="1" spans="1:16">
      <c r="A571" s="347" t="s">
        <v>542</v>
      </c>
      <c r="B571" s="348"/>
      <c r="C571" s="348"/>
      <c r="D571" s="349"/>
      <c r="E571" s="348"/>
      <c r="F571" s="345"/>
      <c r="G571" s="346"/>
      <c r="H571" s="348">
        <v>3290</v>
      </c>
      <c r="I571" s="345"/>
      <c r="J571" s="349"/>
      <c r="K571" s="325"/>
      <c r="L571" s="325">
        <f t="shared" si="30"/>
        <v>3290</v>
      </c>
      <c r="M571" s="325"/>
      <c r="N571" s="363"/>
      <c r="O571" s="363"/>
      <c r="P571" s="364"/>
    </row>
    <row r="572" ht="16.5" customHeight="1" spans="1:16">
      <c r="A572" s="347" t="s">
        <v>543</v>
      </c>
      <c r="B572" s="348"/>
      <c r="C572" s="348"/>
      <c r="D572" s="349"/>
      <c r="E572" s="348"/>
      <c r="F572" s="345"/>
      <c r="G572" s="346"/>
      <c r="H572" s="348">
        <v>2371.260433</v>
      </c>
      <c r="I572" s="345"/>
      <c r="J572" s="349"/>
      <c r="K572" s="325"/>
      <c r="L572" s="325">
        <f t="shared" si="30"/>
        <v>2371.260433</v>
      </c>
      <c r="M572" s="325"/>
      <c r="N572" s="363"/>
      <c r="O572" s="363"/>
      <c r="P572" s="364"/>
    </row>
    <row r="573" s="326" customFormat="1" ht="16.5" customHeight="1" spans="1:16">
      <c r="A573" s="347" t="s">
        <v>544</v>
      </c>
      <c r="B573" s="348">
        <v>98</v>
      </c>
      <c r="C573" s="348">
        <v>90</v>
      </c>
      <c r="D573" s="349">
        <f>C573/B573*100</f>
        <v>91.8367346938776</v>
      </c>
      <c r="E573" s="348">
        <v>68</v>
      </c>
      <c r="F573" s="345">
        <f>C573-E573</f>
        <v>22</v>
      </c>
      <c r="G573" s="346">
        <f>F573/E573*100</f>
        <v>32.3529411764706</v>
      </c>
      <c r="H573" s="348">
        <f>SUM(H574:H578)</f>
        <v>89.886968</v>
      </c>
      <c r="I573" s="345">
        <f>H573-B573</f>
        <v>-8.113032</v>
      </c>
      <c r="J573" s="349">
        <f>I573/B573*100</f>
        <v>-8.27860408163266</v>
      </c>
      <c r="K573" s="325"/>
      <c r="L573" s="325">
        <f t="shared" si="30"/>
        <v>407.685007788716</v>
      </c>
      <c r="M573" s="325"/>
      <c r="N573" s="363"/>
      <c r="O573" s="363"/>
      <c r="P573" s="364"/>
    </row>
    <row r="574" ht="16.5" customHeight="1" spans="1:16">
      <c r="A574" s="347" t="s">
        <v>155</v>
      </c>
      <c r="B574" s="348"/>
      <c r="C574" s="348">
        <v>0</v>
      </c>
      <c r="D574" s="349"/>
      <c r="E574" s="348"/>
      <c r="F574" s="345"/>
      <c r="G574" s="346"/>
      <c r="H574" s="348">
        <v>68.564968</v>
      </c>
      <c r="I574" s="345"/>
      <c r="J574" s="349"/>
      <c r="K574" s="325"/>
      <c r="L574" s="325">
        <f t="shared" si="30"/>
        <v>68.564968</v>
      </c>
      <c r="M574" s="325"/>
      <c r="N574" s="363"/>
      <c r="O574" s="363"/>
      <c r="P574" s="364"/>
    </row>
    <row r="575" ht="16.5" customHeight="1" spans="1:16">
      <c r="A575" s="347" t="s">
        <v>156</v>
      </c>
      <c r="B575" s="348"/>
      <c r="C575" s="348">
        <v>0</v>
      </c>
      <c r="D575" s="349"/>
      <c r="E575" s="348"/>
      <c r="F575" s="345"/>
      <c r="G575" s="346"/>
      <c r="H575" s="348">
        <v>2</v>
      </c>
      <c r="I575" s="345"/>
      <c r="J575" s="349"/>
      <c r="K575" s="325"/>
      <c r="L575" s="325">
        <f t="shared" si="30"/>
        <v>2</v>
      </c>
      <c r="M575" s="325"/>
      <c r="N575" s="363"/>
      <c r="O575" s="363"/>
      <c r="P575" s="364"/>
    </row>
    <row r="576" ht="16.5" hidden="1" customHeight="1" spans="1:16">
      <c r="A576" s="347" t="s">
        <v>157</v>
      </c>
      <c r="B576" s="348"/>
      <c r="C576" s="348">
        <v>0</v>
      </c>
      <c r="D576" s="349"/>
      <c r="E576" s="348"/>
      <c r="F576" s="345"/>
      <c r="G576" s="346"/>
      <c r="H576" s="348">
        <v>0</v>
      </c>
      <c r="I576" s="345"/>
      <c r="J576" s="349"/>
      <c r="K576" s="325"/>
      <c r="L576" s="325">
        <f t="shared" si="30"/>
        <v>0</v>
      </c>
      <c r="M576" s="325"/>
      <c r="N576" s="363"/>
      <c r="O576" s="363"/>
      <c r="P576" s="364"/>
    </row>
    <row r="577" ht="16.5" hidden="1" customHeight="1" spans="1:16">
      <c r="A577" s="347" t="s">
        <v>164</v>
      </c>
      <c r="B577" s="348"/>
      <c r="C577" s="348">
        <v>0</v>
      </c>
      <c r="D577" s="349"/>
      <c r="E577" s="348"/>
      <c r="F577" s="345"/>
      <c r="G577" s="346"/>
      <c r="H577" s="348">
        <v>0</v>
      </c>
      <c r="I577" s="345"/>
      <c r="J577" s="349"/>
      <c r="K577" s="325"/>
      <c r="L577" s="325">
        <f t="shared" si="30"/>
        <v>0</v>
      </c>
      <c r="M577" s="325"/>
      <c r="N577" s="363"/>
      <c r="O577" s="363"/>
      <c r="P577" s="364"/>
    </row>
    <row r="578" ht="16.5" customHeight="1" spans="1:16">
      <c r="A578" s="347" t="s">
        <v>545</v>
      </c>
      <c r="B578" s="348"/>
      <c r="C578" s="348"/>
      <c r="D578" s="349"/>
      <c r="E578" s="348"/>
      <c r="F578" s="345"/>
      <c r="G578" s="346"/>
      <c r="H578" s="348">
        <v>19.322</v>
      </c>
      <c r="I578" s="345"/>
      <c r="J578" s="349"/>
      <c r="K578" s="325"/>
      <c r="L578" s="325">
        <f t="shared" si="30"/>
        <v>19.322</v>
      </c>
      <c r="M578" s="325"/>
      <c r="N578" s="363"/>
      <c r="O578" s="363"/>
      <c r="P578" s="364"/>
    </row>
    <row r="579" s="326" customFormat="1" ht="16.5" customHeight="1" spans="1:16">
      <c r="A579" s="347" t="s">
        <v>546</v>
      </c>
      <c r="B579" s="348">
        <v>89260</v>
      </c>
      <c r="C579" s="348">
        <v>118615</v>
      </c>
      <c r="D579" s="349">
        <f>C579/B579*100</f>
        <v>132.887071476585</v>
      </c>
      <c r="E579" s="348">
        <v>120946</v>
      </c>
      <c r="F579" s="345">
        <f>C579-E579</f>
        <v>-2331</v>
      </c>
      <c r="G579" s="346">
        <f>F579/E579*100</f>
        <v>-1.92730640120384</v>
      </c>
      <c r="H579" s="348">
        <f>SUM(H580:H581)</f>
        <v>93813</v>
      </c>
      <c r="I579" s="345">
        <f>H579-B579</f>
        <v>4553</v>
      </c>
      <c r="J579" s="349">
        <f>I579/B579*100</f>
        <v>5.10082903876316</v>
      </c>
      <c r="K579" s="325"/>
      <c r="L579" s="325">
        <f t="shared" si="30"/>
        <v>304046.060594114</v>
      </c>
      <c r="M579" s="325"/>
      <c r="N579" s="363"/>
      <c r="O579" s="363"/>
      <c r="P579" s="364"/>
    </row>
    <row r="580" ht="16.5" customHeight="1" spans="1:16">
      <c r="A580" s="347" t="s">
        <v>547</v>
      </c>
      <c r="B580" s="348"/>
      <c r="C580" s="348"/>
      <c r="D580" s="349"/>
      <c r="E580" s="348"/>
      <c r="F580" s="345"/>
      <c r="G580" s="346"/>
      <c r="H580" s="348">
        <v>24240</v>
      </c>
      <c r="I580" s="345"/>
      <c r="J580" s="349"/>
      <c r="K580" s="325"/>
      <c r="L580" s="325">
        <f t="shared" si="30"/>
        <v>24240</v>
      </c>
      <c r="M580" s="325"/>
      <c r="N580" s="363"/>
      <c r="O580" s="363"/>
      <c r="P580" s="364"/>
    </row>
    <row r="581" ht="16.5" customHeight="1" spans="1:16">
      <c r="A581" s="347" t="s">
        <v>548</v>
      </c>
      <c r="B581" s="348"/>
      <c r="C581" s="348"/>
      <c r="D581" s="349"/>
      <c r="E581" s="348"/>
      <c r="F581" s="345"/>
      <c r="G581" s="346"/>
      <c r="H581" s="348">
        <v>69573</v>
      </c>
      <c r="I581" s="345"/>
      <c r="J581" s="349"/>
      <c r="K581" s="325"/>
      <c r="L581" s="325">
        <f t="shared" si="30"/>
        <v>69573</v>
      </c>
      <c r="M581" s="325"/>
      <c r="N581" s="363"/>
      <c r="O581" s="363"/>
      <c r="P581" s="364"/>
    </row>
    <row r="582" s="326" customFormat="1" ht="16.5" customHeight="1" spans="1:16">
      <c r="A582" s="347" t="s">
        <v>549</v>
      </c>
      <c r="B582" s="348">
        <v>751</v>
      </c>
      <c r="C582" s="348">
        <v>1224</v>
      </c>
      <c r="D582" s="349">
        <f>C582/B582*100</f>
        <v>162.982689747004</v>
      </c>
      <c r="E582" s="348">
        <v>1940</v>
      </c>
      <c r="F582" s="345">
        <f>C582-E582</f>
        <v>-716</v>
      </c>
      <c r="G582" s="346">
        <f>F582/E582*100</f>
        <v>-36.9072164948454</v>
      </c>
      <c r="H582" s="348">
        <f>SUM(H583:H584)</f>
        <v>750.203565</v>
      </c>
      <c r="I582" s="345">
        <f>H582-B582</f>
        <v>-0.796434999999974</v>
      </c>
      <c r="J582" s="349">
        <f>I582/B582*100</f>
        <v>-0.1060499334221</v>
      </c>
      <c r="K582" s="325"/>
      <c r="L582" s="325">
        <f t="shared" si="30"/>
        <v>2134.37655331874</v>
      </c>
      <c r="M582" s="325"/>
      <c r="N582" s="363"/>
      <c r="O582" s="363"/>
      <c r="P582" s="364"/>
    </row>
    <row r="583" ht="16.5" customHeight="1" spans="1:16">
      <c r="A583" s="347" t="s">
        <v>550</v>
      </c>
      <c r="B583" s="348"/>
      <c r="C583" s="348"/>
      <c r="D583" s="349"/>
      <c r="E583" s="348"/>
      <c r="F583" s="345"/>
      <c r="G583" s="346"/>
      <c r="H583" s="348">
        <v>238</v>
      </c>
      <c r="I583" s="345"/>
      <c r="J583" s="349"/>
      <c r="K583" s="325"/>
      <c r="L583" s="325">
        <f t="shared" si="30"/>
        <v>238</v>
      </c>
      <c r="M583" s="325"/>
      <c r="N583" s="363"/>
      <c r="O583" s="363"/>
      <c r="P583" s="364"/>
    </row>
    <row r="584" ht="16.5" customHeight="1" spans="1:16">
      <c r="A584" s="347" t="s">
        <v>551</v>
      </c>
      <c r="B584" s="348"/>
      <c r="C584" s="348"/>
      <c r="D584" s="349"/>
      <c r="E584" s="348"/>
      <c r="F584" s="345"/>
      <c r="G584" s="346"/>
      <c r="H584" s="348">
        <v>512.203565</v>
      </c>
      <c r="I584" s="345"/>
      <c r="J584" s="349"/>
      <c r="K584" s="325"/>
      <c r="L584" s="325">
        <f t="shared" ref="L584:L647" si="31">B584+C584+D584+F584+G584+H584+I584+J584</f>
        <v>512.203565</v>
      </c>
      <c r="M584" s="325"/>
      <c r="N584" s="363"/>
      <c r="O584" s="363"/>
      <c r="P584" s="364"/>
    </row>
    <row r="585" s="326" customFormat="1" ht="16.5" customHeight="1" spans="1:16">
      <c r="A585" s="347" t="s">
        <v>552</v>
      </c>
      <c r="B585" s="348">
        <v>6744</v>
      </c>
      <c r="C585" s="348">
        <v>29955</v>
      </c>
      <c r="D585" s="349">
        <f>C585/B585*100</f>
        <v>444.172597864769</v>
      </c>
      <c r="E585" s="348">
        <v>34457</v>
      </c>
      <c r="F585" s="345">
        <f>C585-E585</f>
        <v>-4502</v>
      </c>
      <c r="G585" s="346">
        <f>F585/E585*100</f>
        <v>-13.0655599733001</v>
      </c>
      <c r="H585" s="348">
        <f>SUM(H586:H587)</f>
        <v>6998</v>
      </c>
      <c r="I585" s="345">
        <f>H585-B585</f>
        <v>254</v>
      </c>
      <c r="J585" s="349">
        <f>I585/B585*100</f>
        <v>3.76631079478054</v>
      </c>
      <c r="K585" s="325"/>
      <c r="L585" s="325">
        <f t="shared" si="31"/>
        <v>39883.8733486862</v>
      </c>
      <c r="M585" s="325"/>
      <c r="N585" s="363"/>
      <c r="O585" s="363"/>
      <c r="P585" s="364"/>
    </row>
    <row r="586" ht="16.5" customHeight="1" spans="1:16">
      <c r="A586" s="347" t="s">
        <v>553</v>
      </c>
      <c r="B586" s="348"/>
      <c r="C586" s="348"/>
      <c r="D586" s="349"/>
      <c r="E586" s="348"/>
      <c r="F586" s="345"/>
      <c r="G586" s="346"/>
      <c r="H586" s="348">
        <v>377</v>
      </c>
      <c r="I586" s="345"/>
      <c r="J586" s="349"/>
      <c r="K586" s="325"/>
      <c r="L586" s="325">
        <f t="shared" si="31"/>
        <v>377</v>
      </c>
      <c r="M586" s="325"/>
      <c r="N586" s="363"/>
      <c r="O586" s="363"/>
      <c r="P586" s="364"/>
    </row>
    <row r="587" ht="16.5" customHeight="1" spans="1:16">
      <c r="A587" s="347" t="s">
        <v>554</v>
      </c>
      <c r="B587" s="348"/>
      <c r="C587" s="348"/>
      <c r="D587" s="349"/>
      <c r="E587" s="348"/>
      <c r="F587" s="345"/>
      <c r="G587" s="346"/>
      <c r="H587" s="348">
        <v>6621</v>
      </c>
      <c r="I587" s="345"/>
      <c r="J587" s="349"/>
      <c r="K587" s="325"/>
      <c r="L587" s="325">
        <f t="shared" si="31"/>
        <v>6621</v>
      </c>
      <c r="M587" s="325"/>
      <c r="N587" s="363"/>
      <c r="O587" s="363"/>
      <c r="P587" s="364"/>
    </row>
    <row r="588" s="326" customFormat="1" ht="16.5" hidden="1" customHeight="1" spans="1:16">
      <c r="A588" s="347" t="s">
        <v>555</v>
      </c>
      <c r="B588" s="348"/>
      <c r="C588" s="348">
        <v>0</v>
      </c>
      <c r="D588" s="349"/>
      <c r="E588" s="348"/>
      <c r="F588" s="345">
        <f>C588-E588</f>
        <v>0</v>
      </c>
      <c r="G588" s="346"/>
      <c r="H588" s="348"/>
      <c r="I588" s="345">
        <f>H588-B588</f>
        <v>0</v>
      </c>
      <c r="J588" s="349"/>
      <c r="K588" s="325"/>
      <c r="L588" s="325">
        <f t="shared" si="31"/>
        <v>0</v>
      </c>
      <c r="M588" s="325"/>
      <c r="N588" s="363"/>
      <c r="O588" s="363"/>
      <c r="P588" s="364"/>
    </row>
    <row r="589" ht="16.5" hidden="1" customHeight="1" spans="1:16">
      <c r="A589" s="347" t="s">
        <v>556</v>
      </c>
      <c r="B589" s="348"/>
      <c r="C589" s="348">
        <v>0</v>
      </c>
      <c r="D589" s="349"/>
      <c r="E589" s="348"/>
      <c r="F589" s="345"/>
      <c r="G589" s="346"/>
      <c r="H589" s="348"/>
      <c r="I589" s="345"/>
      <c r="J589" s="349"/>
      <c r="K589" s="325"/>
      <c r="L589" s="325">
        <f t="shared" si="31"/>
        <v>0</v>
      </c>
      <c r="M589" s="325"/>
      <c r="N589" s="363"/>
      <c r="O589" s="363"/>
      <c r="P589" s="364"/>
    </row>
    <row r="590" ht="16.5" hidden="1" customHeight="1" spans="1:16">
      <c r="A590" s="347" t="s">
        <v>557</v>
      </c>
      <c r="B590" s="348"/>
      <c r="C590" s="348">
        <v>0</v>
      </c>
      <c r="D590" s="349"/>
      <c r="E590" s="348"/>
      <c r="F590" s="345"/>
      <c r="G590" s="346"/>
      <c r="H590" s="348"/>
      <c r="I590" s="345"/>
      <c r="J590" s="349"/>
      <c r="K590" s="325"/>
      <c r="L590" s="325">
        <f t="shared" si="31"/>
        <v>0</v>
      </c>
      <c r="M590" s="325"/>
      <c r="N590" s="363"/>
      <c r="O590" s="363"/>
      <c r="P590" s="364"/>
    </row>
    <row r="591" s="326" customFormat="1" ht="16.5" customHeight="1" spans="1:16">
      <c r="A591" s="347" t="s">
        <v>558</v>
      </c>
      <c r="B591" s="348"/>
      <c r="C591" s="348">
        <v>0</v>
      </c>
      <c r="D591" s="349"/>
      <c r="E591" s="348">
        <v>463</v>
      </c>
      <c r="F591" s="345">
        <f>C591-E591</f>
        <v>-463</v>
      </c>
      <c r="G591" s="346">
        <f>F591/E591*100</f>
        <v>-100</v>
      </c>
      <c r="H591" s="348">
        <f>SUM(H592:H593)</f>
        <v>0</v>
      </c>
      <c r="I591" s="345">
        <v>411</v>
      </c>
      <c r="J591" s="349">
        <v>2.78040860506021</v>
      </c>
      <c r="K591" s="325"/>
      <c r="L591" s="325">
        <f t="shared" si="31"/>
        <v>-149.21959139494</v>
      </c>
      <c r="M591" s="325"/>
      <c r="N591" s="363"/>
      <c r="O591" s="363"/>
      <c r="P591" s="364"/>
    </row>
    <row r="592" ht="16.5" hidden="1" customHeight="1" spans="1:16">
      <c r="A592" s="347" t="s">
        <v>559</v>
      </c>
      <c r="B592" s="348"/>
      <c r="C592" s="348">
        <v>0</v>
      </c>
      <c r="D592" s="349"/>
      <c r="E592" s="348"/>
      <c r="F592" s="345"/>
      <c r="G592" s="346"/>
      <c r="H592" s="348"/>
      <c r="I592" s="345"/>
      <c r="J592" s="349"/>
      <c r="K592" s="325"/>
      <c r="L592" s="325">
        <f t="shared" si="31"/>
        <v>0</v>
      </c>
      <c r="M592" s="325"/>
      <c r="N592" s="363"/>
      <c r="O592" s="363"/>
      <c r="P592" s="364"/>
    </row>
    <row r="593" ht="16.5" hidden="1" customHeight="1" spans="1:16">
      <c r="A593" s="347" t="s">
        <v>560</v>
      </c>
      <c r="B593" s="348"/>
      <c r="C593" s="348">
        <v>0</v>
      </c>
      <c r="D593" s="349"/>
      <c r="E593" s="348"/>
      <c r="F593" s="345"/>
      <c r="G593" s="346"/>
      <c r="H593" s="348"/>
      <c r="I593" s="345"/>
      <c r="J593" s="349"/>
      <c r="K593" s="325"/>
      <c r="L593" s="325">
        <f t="shared" si="31"/>
        <v>0</v>
      </c>
      <c r="M593" s="325"/>
      <c r="N593" s="363"/>
      <c r="O593" s="363"/>
      <c r="P593" s="364"/>
    </row>
    <row r="594" s="326" customFormat="1" ht="16.5" customHeight="1" spans="1:16">
      <c r="A594" s="347" t="s">
        <v>561</v>
      </c>
      <c r="B594" s="348">
        <v>184498</v>
      </c>
      <c r="C594" s="348">
        <v>158138</v>
      </c>
      <c r="D594" s="349">
        <f>C594/B594*100</f>
        <v>85.7125822502141</v>
      </c>
      <c r="E594" s="348">
        <v>76578</v>
      </c>
      <c r="F594" s="345">
        <f>C594-E594</f>
        <v>81560</v>
      </c>
      <c r="G594" s="346">
        <f>F594/E594*100</f>
        <v>106.505784951292</v>
      </c>
      <c r="H594" s="348">
        <f>SUM(H595:H597)</f>
        <v>179556</v>
      </c>
      <c r="I594" s="345">
        <f>H594-B594</f>
        <v>-4942</v>
      </c>
      <c r="J594" s="349">
        <f>I594/B594*100</f>
        <v>-2.6786198224371</v>
      </c>
      <c r="K594" s="325"/>
      <c r="L594" s="325">
        <f t="shared" si="31"/>
        <v>598999.539747379</v>
      </c>
      <c r="M594" s="325"/>
      <c r="N594" s="363"/>
      <c r="O594" s="363"/>
      <c r="P594" s="364"/>
    </row>
    <row r="595" ht="16.5" customHeight="1" spans="1:16">
      <c r="A595" s="347" t="s">
        <v>562</v>
      </c>
      <c r="B595" s="348"/>
      <c r="C595" s="348"/>
      <c r="D595" s="349"/>
      <c r="E595" s="348"/>
      <c r="F595" s="345"/>
      <c r="G595" s="346"/>
      <c r="H595" s="348">
        <v>13190</v>
      </c>
      <c r="I595" s="345"/>
      <c r="J595" s="349"/>
      <c r="K595" s="325"/>
      <c r="L595" s="325">
        <f t="shared" si="31"/>
        <v>13190</v>
      </c>
      <c r="M595" s="325"/>
      <c r="N595" s="363"/>
      <c r="O595" s="363"/>
      <c r="P595" s="364"/>
    </row>
    <row r="596" ht="16.5" customHeight="1" spans="1:16">
      <c r="A596" s="347" t="s">
        <v>563</v>
      </c>
      <c r="B596" s="348"/>
      <c r="C596" s="348"/>
      <c r="D596" s="349"/>
      <c r="E596" s="348"/>
      <c r="F596" s="345"/>
      <c r="G596" s="346"/>
      <c r="H596" s="348">
        <v>166366</v>
      </c>
      <c r="I596" s="345"/>
      <c r="J596" s="349"/>
      <c r="K596" s="325"/>
      <c r="L596" s="325">
        <f t="shared" si="31"/>
        <v>166366</v>
      </c>
      <c r="M596" s="325"/>
      <c r="N596" s="363"/>
      <c r="O596" s="363"/>
      <c r="P596" s="364"/>
    </row>
    <row r="597" ht="16.5" hidden="1" customHeight="1" spans="1:16">
      <c r="A597" s="347" t="s">
        <v>564</v>
      </c>
      <c r="B597" s="348"/>
      <c r="C597" s="348"/>
      <c r="D597" s="349"/>
      <c r="E597" s="348"/>
      <c r="F597" s="345"/>
      <c r="G597" s="346"/>
      <c r="H597" s="348">
        <v>0</v>
      </c>
      <c r="I597" s="345"/>
      <c r="J597" s="349"/>
      <c r="K597" s="325"/>
      <c r="L597" s="325">
        <f t="shared" si="31"/>
        <v>0</v>
      </c>
      <c r="M597" s="325"/>
      <c r="N597" s="363"/>
      <c r="O597" s="363"/>
      <c r="P597" s="364"/>
    </row>
    <row r="598" s="326" customFormat="1" ht="16.5" hidden="1" customHeight="1" spans="1:16">
      <c r="A598" s="347" t="s">
        <v>565</v>
      </c>
      <c r="B598" s="348"/>
      <c r="C598" s="348">
        <v>0</v>
      </c>
      <c r="D598" s="349"/>
      <c r="E598" s="348"/>
      <c r="F598" s="345"/>
      <c r="G598" s="346"/>
      <c r="H598" s="348"/>
      <c r="I598" s="345"/>
      <c r="J598" s="349"/>
      <c r="K598" s="325"/>
      <c r="L598" s="325">
        <f t="shared" si="31"/>
        <v>0</v>
      </c>
      <c r="M598" s="325"/>
      <c r="N598" s="363"/>
      <c r="O598" s="363"/>
      <c r="P598" s="364"/>
    </row>
    <row r="599" ht="16.5" hidden="1" customHeight="1" spans="1:16">
      <c r="A599" s="347" t="s">
        <v>566</v>
      </c>
      <c r="B599" s="348"/>
      <c r="C599" s="348">
        <v>0</v>
      </c>
      <c r="D599" s="349"/>
      <c r="E599" s="348"/>
      <c r="F599" s="345"/>
      <c r="G599" s="346"/>
      <c r="H599" s="348"/>
      <c r="I599" s="345"/>
      <c r="J599" s="349"/>
      <c r="K599" s="325"/>
      <c r="L599" s="325">
        <f t="shared" si="31"/>
        <v>0</v>
      </c>
      <c r="M599" s="325"/>
      <c r="N599" s="363"/>
      <c r="O599" s="363"/>
      <c r="P599" s="364"/>
    </row>
    <row r="600" ht="16.5" hidden="1" customHeight="1" spans="1:16">
      <c r="A600" s="347" t="s">
        <v>567</v>
      </c>
      <c r="B600" s="348"/>
      <c r="C600" s="348">
        <v>0</v>
      </c>
      <c r="D600" s="349"/>
      <c r="E600" s="348"/>
      <c r="F600" s="345"/>
      <c r="G600" s="346"/>
      <c r="H600" s="348"/>
      <c r="I600" s="345"/>
      <c r="J600" s="349"/>
      <c r="K600" s="325"/>
      <c r="L600" s="325">
        <f t="shared" si="31"/>
        <v>0</v>
      </c>
      <c r="M600" s="325"/>
      <c r="N600" s="363"/>
      <c r="O600" s="363"/>
      <c r="P600" s="364"/>
    </row>
    <row r="601" ht="16.5" hidden="1" customHeight="1" spans="1:16">
      <c r="A601" s="347" t="s">
        <v>568</v>
      </c>
      <c r="B601" s="348"/>
      <c r="C601" s="348">
        <v>0</v>
      </c>
      <c r="D601" s="349"/>
      <c r="E601" s="348"/>
      <c r="F601" s="345"/>
      <c r="G601" s="346"/>
      <c r="H601" s="348"/>
      <c r="I601" s="345"/>
      <c r="J601" s="349"/>
      <c r="K601" s="325"/>
      <c r="L601" s="325">
        <f t="shared" si="31"/>
        <v>0</v>
      </c>
      <c r="M601" s="325"/>
      <c r="N601" s="363"/>
      <c r="O601" s="363"/>
      <c r="P601" s="364"/>
    </row>
    <row r="602" s="326" customFormat="1" ht="16.5" customHeight="1" spans="1:16">
      <c r="A602" s="347" t="s">
        <v>569</v>
      </c>
      <c r="B602" s="348">
        <v>3250</v>
      </c>
      <c r="C602" s="348">
        <v>4306</v>
      </c>
      <c r="D602" s="349">
        <f>C602/B602*100</f>
        <v>132.492307692308</v>
      </c>
      <c r="E602" s="348">
        <v>4874</v>
      </c>
      <c r="F602" s="345">
        <f>C602-E602</f>
        <v>-568</v>
      </c>
      <c r="G602" s="346">
        <f>F602/E602*100</f>
        <v>-11.653672548215</v>
      </c>
      <c r="H602" s="348">
        <f>SUM(H603:H610)</f>
        <v>3996.811752</v>
      </c>
      <c r="I602" s="345">
        <f>H602-B602</f>
        <v>746.811752</v>
      </c>
      <c r="J602" s="349">
        <f>I602/B602*100</f>
        <v>22.9788231384615</v>
      </c>
      <c r="K602" s="325"/>
      <c r="L602" s="325">
        <f t="shared" si="31"/>
        <v>11875.4409622826</v>
      </c>
      <c r="M602" s="325"/>
      <c r="N602" s="363"/>
      <c r="O602" s="363"/>
      <c r="P602" s="364"/>
    </row>
    <row r="603" ht="16.5" customHeight="1" spans="1:16">
      <c r="A603" s="347" t="s">
        <v>155</v>
      </c>
      <c r="B603" s="348"/>
      <c r="C603" s="348"/>
      <c r="D603" s="349"/>
      <c r="E603" s="348"/>
      <c r="F603" s="345"/>
      <c r="G603" s="346"/>
      <c r="H603" s="372">
        <v>1219.915098</v>
      </c>
      <c r="I603" s="345"/>
      <c r="J603" s="349"/>
      <c r="K603" s="325"/>
      <c r="L603" s="325">
        <f t="shared" si="31"/>
        <v>1219.915098</v>
      </c>
      <c r="M603" s="325"/>
      <c r="N603" s="363"/>
      <c r="O603" s="363"/>
      <c r="P603" s="364"/>
    </row>
    <row r="604" ht="16.5" customHeight="1" spans="1:16">
      <c r="A604" s="347" t="s">
        <v>156</v>
      </c>
      <c r="B604" s="348"/>
      <c r="C604" s="348"/>
      <c r="D604" s="349"/>
      <c r="E604" s="348"/>
      <c r="F604" s="345"/>
      <c r="G604" s="346"/>
      <c r="H604" s="372">
        <f>115-10</f>
        <v>105</v>
      </c>
      <c r="I604" s="345"/>
      <c r="J604" s="349"/>
      <c r="K604" s="325"/>
      <c r="L604" s="325">
        <f t="shared" si="31"/>
        <v>105</v>
      </c>
      <c r="M604" s="325"/>
      <c r="N604" s="363"/>
      <c r="O604" s="363"/>
      <c r="P604" s="364"/>
    </row>
    <row r="605" ht="16.5" customHeight="1" spans="1:16">
      <c r="A605" s="347" t="s">
        <v>157</v>
      </c>
      <c r="B605" s="348"/>
      <c r="C605" s="348"/>
      <c r="D605" s="349"/>
      <c r="E605" s="348"/>
      <c r="F605" s="345"/>
      <c r="G605" s="346"/>
      <c r="H605" s="372">
        <v>10</v>
      </c>
      <c r="I605" s="345"/>
      <c r="J605" s="349"/>
      <c r="K605" s="325"/>
      <c r="L605" s="325">
        <f t="shared" si="31"/>
        <v>10</v>
      </c>
      <c r="M605" s="325"/>
      <c r="N605" s="363"/>
      <c r="O605" s="363"/>
      <c r="P605" s="364"/>
    </row>
    <row r="606" ht="16.5" customHeight="1" spans="1:16">
      <c r="A606" s="347" t="s">
        <v>570</v>
      </c>
      <c r="B606" s="348"/>
      <c r="C606" s="348"/>
      <c r="D606" s="349"/>
      <c r="E606" s="348"/>
      <c r="F606" s="345"/>
      <c r="G606" s="346"/>
      <c r="H606" s="372">
        <f>1178.16-9</f>
        <v>1169.16</v>
      </c>
      <c r="I606" s="345"/>
      <c r="J606" s="349"/>
      <c r="K606" s="325"/>
      <c r="L606" s="325">
        <f t="shared" si="31"/>
        <v>1169.16</v>
      </c>
      <c r="M606" s="325"/>
      <c r="N606" s="363"/>
      <c r="O606" s="363"/>
      <c r="P606" s="364"/>
    </row>
    <row r="607" ht="16.5" customHeight="1" spans="1:16">
      <c r="A607" s="347" t="s">
        <v>571</v>
      </c>
      <c r="B607" s="348"/>
      <c r="C607" s="348"/>
      <c r="D607" s="349"/>
      <c r="E607" s="348"/>
      <c r="F607" s="345"/>
      <c r="G607" s="346"/>
      <c r="H607" s="372">
        <f>380.550606+9</f>
        <v>389.550606</v>
      </c>
      <c r="I607" s="345"/>
      <c r="J607" s="349"/>
      <c r="K607" s="325"/>
      <c r="L607" s="325">
        <f t="shared" si="31"/>
        <v>389.550606</v>
      </c>
      <c r="M607" s="325"/>
      <c r="N607" s="363"/>
      <c r="O607" s="363"/>
      <c r="P607" s="364"/>
    </row>
    <row r="608" ht="16.5" customHeight="1" spans="1:16">
      <c r="A608" s="347" t="s">
        <v>195</v>
      </c>
      <c r="B608" s="348"/>
      <c r="C608" s="348"/>
      <c r="D608" s="349"/>
      <c r="E608" s="348"/>
      <c r="F608" s="345"/>
      <c r="G608" s="346"/>
      <c r="H608" s="372">
        <v>200</v>
      </c>
      <c r="I608" s="345"/>
      <c r="J608" s="349"/>
      <c r="K608" s="325"/>
      <c r="L608" s="325">
        <f t="shared" si="31"/>
        <v>200</v>
      </c>
      <c r="M608" s="325"/>
      <c r="N608" s="363"/>
      <c r="O608" s="363"/>
      <c r="P608" s="364"/>
    </row>
    <row r="609" ht="16.5" customHeight="1" spans="1:16">
      <c r="A609" s="347" t="s">
        <v>164</v>
      </c>
      <c r="B609" s="348"/>
      <c r="C609" s="348"/>
      <c r="D609" s="349"/>
      <c r="E609" s="348"/>
      <c r="F609" s="345"/>
      <c r="G609" s="346"/>
      <c r="H609" s="372">
        <v>776.876048</v>
      </c>
      <c r="I609" s="345"/>
      <c r="J609" s="349"/>
      <c r="K609" s="325"/>
      <c r="L609" s="325">
        <f t="shared" si="31"/>
        <v>776.876048</v>
      </c>
      <c r="M609" s="325"/>
      <c r="N609" s="363"/>
      <c r="O609" s="363"/>
      <c r="P609" s="364"/>
    </row>
    <row r="610" ht="16.5" customHeight="1" spans="1:16">
      <c r="A610" s="347" t="s">
        <v>572</v>
      </c>
      <c r="B610" s="348"/>
      <c r="C610" s="348"/>
      <c r="D610" s="349"/>
      <c r="E610" s="348"/>
      <c r="F610" s="345"/>
      <c r="G610" s="346"/>
      <c r="H610" s="372">
        <v>126.31</v>
      </c>
      <c r="I610" s="345"/>
      <c r="J610" s="349"/>
      <c r="K610" s="325"/>
      <c r="L610" s="325">
        <f t="shared" si="31"/>
        <v>126.31</v>
      </c>
      <c r="M610" s="325"/>
      <c r="N610" s="363"/>
      <c r="O610" s="363"/>
      <c r="P610" s="364"/>
    </row>
    <row r="611" s="326" customFormat="1" ht="16.5" customHeight="1" spans="1:16">
      <c r="A611" s="347" t="s">
        <v>573</v>
      </c>
      <c r="B611" s="348">
        <v>5083</v>
      </c>
      <c r="C611" s="348">
        <v>7460</v>
      </c>
      <c r="D611" s="349">
        <f>C611/B611*100</f>
        <v>146.763722211293</v>
      </c>
      <c r="E611" s="348">
        <v>5362</v>
      </c>
      <c r="F611" s="345">
        <f>C611-E611</f>
        <v>2098</v>
      </c>
      <c r="G611" s="346">
        <f>F611/E611*100</f>
        <v>39.1271913465125</v>
      </c>
      <c r="H611" s="348">
        <f>SUM(H612:H613)</f>
        <v>4881</v>
      </c>
      <c r="I611" s="345">
        <f>H611-B611</f>
        <v>-202</v>
      </c>
      <c r="J611" s="349">
        <f>I611/B611*100</f>
        <v>-3.97403108400551</v>
      </c>
      <c r="K611" s="325"/>
      <c r="L611" s="325">
        <f t="shared" si="31"/>
        <v>19501.9168824738</v>
      </c>
      <c r="M611" s="325"/>
      <c r="N611" s="363"/>
      <c r="O611" s="363"/>
      <c r="P611" s="364"/>
    </row>
    <row r="612" ht="16.5" customHeight="1" spans="1:16">
      <c r="A612" s="347" t="s">
        <v>574</v>
      </c>
      <c r="B612" s="348"/>
      <c r="C612" s="348"/>
      <c r="D612" s="349"/>
      <c r="E612" s="348"/>
      <c r="F612" s="345"/>
      <c r="G612" s="346"/>
      <c r="H612" s="348">
        <v>480</v>
      </c>
      <c r="I612" s="345"/>
      <c r="J612" s="349"/>
      <c r="K612" s="325"/>
      <c r="L612" s="325">
        <f t="shared" si="31"/>
        <v>480</v>
      </c>
      <c r="M612" s="325"/>
      <c r="N612" s="363"/>
      <c r="O612" s="363"/>
      <c r="P612" s="364"/>
    </row>
    <row r="613" ht="16.5" customHeight="1" spans="1:16">
      <c r="A613" s="347" t="s">
        <v>575</v>
      </c>
      <c r="B613" s="348"/>
      <c r="C613" s="348"/>
      <c r="D613" s="349"/>
      <c r="E613" s="348"/>
      <c r="F613" s="345"/>
      <c r="G613" s="346"/>
      <c r="H613" s="348">
        <v>4401</v>
      </c>
      <c r="I613" s="345"/>
      <c r="J613" s="349"/>
      <c r="K613" s="325"/>
      <c r="L613" s="325">
        <f t="shared" si="31"/>
        <v>4401</v>
      </c>
      <c r="M613" s="325"/>
      <c r="N613" s="363"/>
      <c r="O613" s="363"/>
      <c r="P613" s="364"/>
    </row>
    <row r="614" s="326" customFormat="1" ht="16.5" customHeight="1" spans="1:16">
      <c r="A614" s="347" t="s">
        <v>576</v>
      </c>
      <c r="B614" s="348">
        <v>38042</v>
      </c>
      <c r="C614" s="348">
        <v>6173</v>
      </c>
      <c r="D614" s="349">
        <f>C614/B614*100</f>
        <v>16.2268019557331</v>
      </c>
      <c r="E614" s="348">
        <v>5786</v>
      </c>
      <c r="F614" s="345">
        <f t="shared" ref="F614:F616" si="32">C614-E614</f>
        <v>387</v>
      </c>
      <c r="G614" s="346">
        <f>F614/E614*100</f>
        <v>6.68855858969927</v>
      </c>
      <c r="H614" s="348">
        <v>51939.181133</v>
      </c>
      <c r="I614" s="345">
        <f t="shared" ref="I614:I616" si="33">H614-B614</f>
        <v>13897.181133</v>
      </c>
      <c r="J614" s="349">
        <f>I614/B614*100</f>
        <v>36.5311527601072</v>
      </c>
      <c r="K614" s="325"/>
      <c r="L614" s="325">
        <f t="shared" si="31"/>
        <v>110497.808779306</v>
      </c>
      <c r="M614" s="325"/>
      <c r="N614" s="363"/>
      <c r="O614" s="363"/>
      <c r="P614" s="364"/>
    </row>
    <row r="615" s="325" customFormat="1" ht="16.5" customHeight="1" spans="1:16">
      <c r="A615" s="344" t="s">
        <v>577</v>
      </c>
      <c r="B615" s="345">
        <f>B616+B621+B636+B640+B652+B656+B661+B665+B669+B672+B697+B681+B688+B693</f>
        <v>628255</v>
      </c>
      <c r="C615" s="345">
        <f>C616+C621+C636+C640+C652+C656+C661+C665+C669+C672+C697+C681+C688+C693</f>
        <v>640239</v>
      </c>
      <c r="D615" s="349">
        <f>C615/B615*100</f>
        <v>101.907505710261</v>
      </c>
      <c r="E615" s="345">
        <f>E616+E621+E636+E640+E652+E656+E661+E665+E669+E672+E697+E681+E688+E693</f>
        <v>567186</v>
      </c>
      <c r="F615" s="345">
        <f t="shared" si="32"/>
        <v>73053</v>
      </c>
      <c r="G615" s="346">
        <f>F615/E615*100</f>
        <v>12.8799018311453</v>
      </c>
      <c r="H615" s="345">
        <f>H616+H621+H636+H640+H652+H656+H661+H665+H669+H672+H697+H681+H688+H693</f>
        <v>652903.409224</v>
      </c>
      <c r="I615" s="345">
        <f t="shared" si="33"/>
        <v>24648.4092239999</v>
      </c>
      <c r="J615" s="349">
        <f t="shared" ref="J615:J616" si="34">I615/B615*100</f>
        <v>3.92331286245234</v>
      </c>
      <c r="L615" s="325">
        <f t="shared" si="31"/>
        <v>2019217.5291684</v>
      </c>
      <c r="N615" s="362"/>
      <c r="O615" s="362"/>
      <c r="P615" s="364"/>
    </row>
    <row r="616" s="326" customFormat="1" ht="16.5" customHeight="1" spans="1:16">
      <c r="A616" s="347" t="s">
        <v>578</v>
      </c>
      <c r="B616" s="348">
        <v>5082</v>
      </c>
      <c r="C616" s="348">
        <v>5185</v>
      </c>
      <c r="D616" s="349">
        <f>C616/B616*100</f>
        <v>102.02676111767</v>
      </c>
      <c r="E616" s="348">
        <v>4048</v>
      </c>
      <c r="F616" s="345">
        <f t="shared" si="32"/>
        <v>1137</v>
      </c>
      <c r="G616" s="346">
        <f>F616/E616*100</f>
        <v>28.0879446640316</v>
      </c>
      <c r="H616" s="348">
        <f>SUM(H617:H620)</f>
        <v>5009.004893</v>
      </c>
      <c r="I616" s="345">
        <f t="shared" si="33"/>
        <v>-72.9951069999997</v>
      </c>
      <c r="J616" s="349">
        <f t="shared" si="34"/>
        <v>-1.43634606454151</v>
      </c>
      <c r="K616" s="325"/>
      <c r="L616" s="325">
        <f t="shared" si="31"/>
        <v>16468.6881457172</v>
      </c>
      <c r="M616" s="325"/>
      <c r="N616" s="363"/>
      <c r="O616" s="363"/>
      <c r="P616" s="364"/>
    </row>
    <row r="617" ht="16.5" customHeight="1" spans="1:16">
      <c r="A617" s="347" t="s">
        <v>155</v>
      </c>
      <c r="B617" s="348"/>
      <c r="C617" s="348"/>
      <c r="D617" s="349"/>
      <c r="E617" s="348"/>
      <c r="F617" s="345"/>
      <c r="G617" s="346"/>
      <c r="H617" s="348">
        <v>3873.616889</v>
      </c>
      <c r="I617" s="345"/>
      <c r="J617" s="349"/>
      <c r="K617" s="325"/>
      <c r="L617" s="325">
        <f t="shared" si="31"/>
        <v>3873.616889</v>
      </c>
      <c r="M617" s="325"/>
      <c r="N617" s="363"/>
      <c r="O617" s="363"/>
      <c r="P617" s="364"/>
    </row>
    <row r="618" ht="16.5" customHeight="1" spans="1:16">
      <c r="A618" s="347" t="s">
        <v>156</v>
      </c>
      <c r="B618" s="348"/>
      <c r="C618" s="348"/>
      <c r="D618" s="349"/>
      <c r="E618" s="348"/>
      <c r="F618" s="345"/>
      <c r="G618" s="346"/>
      <c r="H618" s="348">
        <v>409</v>
      </c>
      <c r="I618" s="345"/>
      <c r="J618" s="349"/>
      <c r="K618" s="325"/>
      <c r="L618" s="325">
        <f t="shared" si="31"/>
        <v>409</v>
      </c>
      <c r="M618" s="325"/>
      <c r="N618" s="363"/>
      <c r="O618" s="363"/>
      <c r="P618" s="364"/>
    </row>
    <row r="619" ht="16.5" customHeight="1" spans="1:16">
      <c r="A619" s="347" t="s">
        <v>157</v>
      </c>
      <c r="B619" s="348"/>
      <c r="C619" s="348"/>
      <c r="D619" s="349"/>
      <c r="E619" s="348"/>
      <c r="F619" s="345"/>
      <c r="G619" s="346"/>
      <c r="H619" s="348">
        <f>136.388004+10</f>
        <v>146.388004</v>
      </c>
      <c r="I619" s="345"/>
      <c r="J619" s="349"/>
      <c r="K619" s="325"/>
      <c r="L619" s="325">
        <f t="shared" si="31"/>
        <v>146.388004</v>
      </c>
      <c r="M619" s="325"/>
      <c r="N619" s="363"/>
      <c r="O619" s="363"/>
      <c r="P619" s="364"/>
    </row>
    <row r="620" ht="16.5" customHeight="1" spans="1:16">
      <c r="A620" s="347" t="s">
        <v>579</v>
      </c>
      <c r="B620" s="348"/>
      <c r="C620" s="348"/>
      <c r="D620" s="349"/>
      <c r="E620" s="348"/>
      <c r="F620" s="345"/>
      <c r="G620" s="346"/>
      <c r="H620" s="348">
        <v>580</v>
      </c>
      <c r="I620" s="345"/>
      <c r="J620" s="349"/>
      <c r="K620" s="325"/>
      <c r="L620" s="325">
        <f t="shared" si="31"/>
        <v>580</v>
      </c>
      <c r="M620" s="325"/>
      <c r="N620" s="363"/>
      <c r="O620" s="363"/>
      <c r="P620" s="364"/>
    </row>
    <row r="621" s="326" customFormat="1" ht="16.5" customHeight="1" spans="1:16">
      <c r="A621" s="347" t="s">
        <v>580</v>
      </c>
      <c r="B621" s="348">
        <v>15105</v>
      </c>
      <c r="C621" s="348">
        <v>17753</v>
      </c>
      <c r="D621" s="349">
        <f>C621/B621*100</f>
        <v>117.530619000331</v>
      </c>
      <c r="E621" s="348">
        <v>19865</v>
      </c>
      <c r="F621" s="345">
        <f>C621-E621</f>
        <v>-2112</v>
      </c>
      <c r="G621" s="346">
        <f>F621/E621*100</f>
        <v>-10.6317644097659</v>
      </c>
      <c r="H621" s="348">
        <f>SUM(H622:H635)</f>
        <v>16664.127304</v>
      </c>
      <c r="I621" s="345">
        <f>H621-B621</f>
        <v>1559.127304</v>
      </c>
      <c r="J621" s="349">
        <f>I621/B621*100</f>
        <v>10.3219285269778</v>
      </c>
      <c r="K621" s="325"/>
      <c r="L621" s="325">
        <f t="shared" si="31"/>
        <v>49086.4753911176</v>
      </c>
      <c r="M621" s="325"/>
      <c r="N621" s="363"/>
      <c r="O621" s="363"/>
      <c r="P621" s="364"/>
    </row>
    <row r="622" ht="16.5" customHeight="1" spans="1:16">
      <c r="A622" s="365" t="s">
        <v>581</v>
      </c>
      <c r="B622" s="348"/>
      <c r="C622" s="348"/>
      <c r="D622" s="349"/>
      <c r="E622" s="348"/>
      <c r="F622" s="345"/>
      <c r="G622" s="346"/>
      <c r="H622" s="348">
        <f>11475.964804-2500</f>
        <v>8975.964804</v>
      </c>
      <c r="I622" s="345"/>
      <c r="J622" s="349"/>
      <c r="K622" s="325"/>
      <c r="L622" s="325">
        <f t="shared" si="31"/>
        <v>8975.964804</v>
      </c>
      <c r="M622" s="325"/>
      <c r="N622" s="363"/>
      <c r="O622" s="363"/>
      <c r="P622" s="364"/>
    </row>
    <row r="623" ht="16.5" customHeight="1" spans="1:16">
      <c r="A623" s="365" t="s">
        <v>582</v>
      </c>
      <c r="B623" s="348"/>
      <c r="C623" s="348"/>
      <c r="D623" s="349"/>
      <c r="E623" s="348"/>
      <c r="F623" s="345"/>
      <c r="G623" s="346"/>
      <c r="H623" s="348">
        <f>1787.2225+2500</f>
        <v>4287.2225</v>
      </c>
      <c r="I623" s="345"/>
      <c r="J623" s="349"/>
      <c r="K623" s="325"/>
      <c r="L623" s="325">
        <f t="shared" si="31"/>
        <v>4287.2225</v>
      </c>
      <c r="M623" s="325"/>
      <c r="N623" s="363"/>
      <c r="O623" s="363"/>
      <c r="P623" s="364"/>
    </row>
    <row r="624" ht="16.5" hidden="1" customHeight="1" spans="1:16">
      <c r="A624" s="365" t="s">
        <v>583</v>
      </c>
      <c r="B624" s="348"/>
      <c r="C624" s="348">
        <v>0</v>
      </c>
      <c r="D624" s="349"/>
      <c r="E624" s="348"/>
      <c r="F624" s="345"/>
      <c r="G624" s="346"/>
      <c r="H624" s="348">
        <v>0</v>
      </c>
      <c r="I624" s="345"/>
      <c r="J624" s="349"/>
      <c r="K624" s="325"/>
      <c r="L624" s="325">
        <f t="shared" si="31"/>
        <v>0</v>
      </c>
      <c r="M624" s="325"/>
      <c r="N624" s="363"/>
      <c r="O624" s="363"/>
      <c r="P624" s="364"/>
    </row>
    <row r="625" ht="16.5" hidden="1" customHeight="1" spans="1:16">
      <c r="A625" s="365" t="s">
        <v>584</v>
      </c>
      <c r="B625" s="348"/>
      <c r="C625" s="348">
        <v>0</v>
      </c>
      <c r="D625" s="349"/>
      <c r="E625" s="348"/>
      <c r="F625" s="345"/>
      <c r="G625" s="346"/>
      <c r="H625" s="348">
        <v>0</v>
      </c>
      <c r="I625" s="345"/>
      <c r="J625" s="349"/>
      <c r="K625" s="325"/>
      <c r="L625" s="325">
        <f t="shared" si="31"/>
        <v>0</v>
      </c>
      <c r="M625" s="325"/>
      <c r="N625" s="363"/>
      <c r="O625" s="363"/>
      <c r="P625" s="364"/>
    </row>
    <row r="626" ht="16.5" hidden="1" customHeight="1" spans="1:16">
      <c r="A626" s="365" t="s">
        <v>585</v>
      </c>
      <c r="B626" s="348"/>
      <c r="C626" s="348">
        <v>0</v>
      </c>
      <c r="D626" s="349"/>
      <c r="E626" s="348"/>
      <c r="F626" s="345"/>
      <c r="G626" s="346"/>
      <c r="H626" s="348">
        <v>0</v>
      </c>
      <c r="I626" s="345"/>
      <c r="J626" s="349"/>
      <c r="K626" s="325"/>
      <c r="L626" s="325">
        <f t="shared" si="31"/>
        <v>0</v>
      </c>
      <c r="M626" s="325"/>
      <c r="N626" s="363"/>
      <c r="O626" s="363"/>
      <c r="P626" s="364"/>
    </row>
    <row r="627" ht="16.5" customHeight="1" spans="1:16">
      <c r="A627" s="365" t="s">
        <v>586</v>
      </c>
      <c r="B627" s="348"/>
      <c r="C627" s="348">
        <v>0</v>
      </c>
      <c r="D627" s="349"/>
      <c r="E627" s="348"/>
      <c r="F627" s="345"/>
      <c r="G627" s="346"/>
      <c r="H627" s="348">
        <v>439.41</v>
      </c>
      <c r="I627" s="345"/>
      <c r="J627" s="349"/>
      <c r="K627" s="325"/>
      <c r="L627" s="325">
        <f t="shared" si="31"/>
        <v>439.41</v>
      </c>
      <c r="M627" s="325"/>
      <c r="N627" s="363"/>
      <c r="O627" s="363"/>
      <c r="P627" s="364"/>
    </row>
    <row r="628" ht="16.5" hidden="1" customHeight="1" spans="1:16">
      <c r="A628" s="365" t="s">
        <v>587</v>
      </c>
      <c r="B628" s="348"/>
      <c r="C628" s="348">
        <v>0</v>
      </c>
      <c r="D628" s="349"/>
      <c r="E628" s="348"/>
      <c r="F628" s="345"/>
      <c r="G628" s="346"/>
      <c r="H628" s="348">
        <v>0</v>
      </c>
      <c r="I628" s="345"/>
      <c r="J628" s="349"/>
      <c r="K628" s="325"/>
      <c r="L628" s="325">
        <f t="shared" si="31"/>
        <v>0</v>
      </c>
      <c r="M628" s="325"/>
      <c r="N628" s="363"/>
      <c r="O628" s="363"/>
      <c r="P628" s="364"/>
    </row>
    <row r="629" ht="16.5" customHeight="1" spans="1:16">
      <c r="A629" s="365" t="s">
        <v>588</v>
      </c>
      <c r="B629" s="348"/>
      <c r="C629" s="348"/>
      <c r="D629" s="349"/>
      <c r="E629" s="348"/>
      <c r="F629" s="345"/>
      <c r="G629" s="346"/>
      <c r="H629" s="348">
        <v>1228.29</v>
      </c>
      <c r="I629" s="345"/>
      <c r="J629" s="349"/>
      <c r="K629" s="325"/>
      <c r="L629" s="325">
        <f t="shared" si="31"/>
        <v>1228.29</v>
      </c>
      <c r="M629" s="325"/>
      <c r="N629" s="363"/>
      <c r="O629" s="363"/>
      <c r="P629" s="364"/>
    </row>
    <row r="630" ht="16.5" hidden="1" customHeight="1" spans="1:16">
      <c r="A630" s="365" t="s">
        <v>589</v>
      </c>
      <c r="B630" s="348"/>
      <c r="C630" s="348">
        <v>0</v>
      </c>
      <c r="D630" s="349"/>
      <c r="E630" s="348"/>
      <c r="F630" s="345"/>
      <c r="G630" s="346"/>
      <c r="H630" s="348">
        <v>0</v>
      </c>
      <c r="I630" s="345"/>
      <c r="J630" s="349"/>
      <c r="K630" s="325"/>
      <c r="L630" s="325">
        <f t="shared" si="31"/>
        <v>0</v>
      </c>
      <c r="M630" s="325"/>
      <c r="N630" s="363"/>
      <c r="O630" s="363"/>
      <c r="P630" s="364"/>
    </row>
    <row r="631" ht="16.5" hidden="1" customHeight="1" spans="1:16">
      <c r="A631" s="365" t="s">
        <v>590</v>
      </c>
      <c r="B631" s="348"/>
      <c r="C631" s="348">
        <v>0</v>
      </c>
      <c r="D631" s="349"/>
      <c r="E631" s="348"/>
      <c r="F631" s="345"/>
      <c r="G631" s="346"/>
      <c r="H631" s="348">
        <v>0</v>
      </c>
      <c r="I631" s="345"/>
      <c r="J631" s="349"/>
      <c r="K631" s="325"/>
      <c r="L631" s="325">
        <f t="shared" si="31"/>
        <v>0</v>
      </c>
      <c r="M631" s="325"/>
      <c r="N631" s="363"/>
      <c r="O631" s="363"/>
      <c r="P631" s="364"/>
    </row>
    <row r="632" ht="16.5" hidden="1" customHeight="1" spans="1:16">
      <c r="A632" s="365" t="s">
        <v>591</v>
      </c>
      <c r="B632" s="348"/>
      <c r="C632" s="348">
        <v>0</v>
      </c>
      <c r="D632" s="349"/>
      <c r="E632" s="348"/>
      <c r="F632" s="345"/>
      <c r="G632" s="346"/>
      <c r="H632" s="348">
        <v>0</v>
      </c>
      <c r="I632" s="345"/>
      <c r="J632" s="349"/>
      <c r="K632" s="325"/>
      <c r="L632" s="325">
        <f t="shared" si="31"/>
        <v>0</v>
      </c>
      <c r="M632" s="325"/>
      <c r="N632" s="363"/>
      <c r="O632" s="363"/>
      <c r="P632" s="364"/>
    </row>
    <row r="633" ht="16.5" hidden="1" customHeight="1" spans="1:16">
      <c r="A633" s="365" t="s">
        <v>592</v>
      </c>
      <c r="B633" s="348"/>
      <c r="C633" s="348">
        <v>0</v>
      </c>
      <c r="D633" s="349"/>
      <c r="E633" s="348"/>
      <c r="F633" s="345"/>
      <c r="G633" s="346"/>
      <c r="H633" s="348">
        <v>0</v>
      </c>
      <c r="I633" s="345"/>
      <c r="J633" s="349"/>
      <c r="K633" s="325"/>
      <c r="L633" s="325">
        <f t="shared" si="31"/>
        <v>0</v>
      </c>
      <c r="M633" s="325"/>
      <c r="N633" s="363"/>
      <c r="O633" s="363"/>
      <c r="P633" s="364"/>
    </row>
    <row r="634" ht="16.5" hidden="1" customHeight="1" spans="1:16">
      <c r="A634" s="365" t="s">
        <v>593</v>
      </c>
      <c r="B634" s="348"/>
      <c r="C634" s="348">
        <v>0</v>
      </c>
      <c r="D634" s="349"/>
      <c r="E634" s="348"/>
      <c r="F634" s="345"/>
      <c r="G634" s="346"/>
      <c r="H634" s="348">
        <v>0</v>
      </c>
      <c r="I634" s="345"/>
      <c r="J634" s="349"/>
      <c r="K634" s="325"/>
      <c r="L634" s="325">
        <f t="shared" si="31"/>
        <v>0</v>
      </c>
      <c r="M634" s="325"/>
      <c r="N634" s="363"/>
      <c r="O634" s="363"/>
      <c r="P634" s="364"/>
    </row>
    <row r="635" ht="16.5" customHeight="1" spans="1:16">
      <c r="A635" s="365" t="s">
        <v>594</v>
      </c>
      <c r="B635" s="348"/>
      <c r="C635" s="348"/>
      <c r="D635" s="349"/>
      <c r="E635" s="348"/>
      <c r="F635" s="345"/>
      <c r="G635" s="346"/>
      <c r="H635" s="348">
        <v>1733.24</v>
      </c>
      <c r="I635" s="345"/>
      <c r="J635" s="349"/>
      <c r="K635" s="325"/>
      <c r="L635" s="325">
        <f t="shared" si="31"/>
        <v>1733.24</v>
      </c>
      <c r="M635" s="325"/>
      <c r="N635" s="363"/>
      <c r="O635" s="363"/>
      <c r="P635" s="364"/>
    </row>
    <row r="636" s="326" customFormat="1" ht="16.5" customHeight="1" spans="1:16">
      <c r="A636" s="347" t="s">
        <v>595</v>
      </c>
      <c r="B636" s="348">
        <v>19502</v>
      </c>
      <c r="C636" s="348">
        <v>11246</v>
      </c>
      <c r="D636" s="349">
        <f>C636/B636*100</f>
        <v>57.6658804225208</v>
      </c>
      <c r="E636" s="348">
        <v>12669</v>
      </c>
      <c r="F636" s="345">
        <f>C636-E636</f>
        <v>-1423</v>
      </c>
      <c r="G636" s="346">
        <f>F636/E636*100</f>
        <v>-11.2321414476281</v>
      </c>
      <c r="H636" s="348">
        <f>SUM(H637:H639)</f>
        <v>23142.38</v>
      </c>
      <c r="I636" s="345">
        <f>H636-B636</f>
        <v>3640.38</v>
      </c>
      <c r="J636" s="349">
        <f>I636/B636*100</f>
        <v>18.6667008511948</v>
      </c>
      <c r="K636" s="325"/>
      <c r="L636" s="325">
        <f t="shared" si="31"/>
        <v>56172.8604398261</v>
      </c>
      <c r="M636" s="325"/>
      <c r="N636" s="363"/>
      <c r="O636" s="363"/>
      <c r="P636" s="364"/>
    </row>
    <row r="637" ht="16.5" customHeight="1" spans="1:16">
      <c r="A637" s="347" t="s">
        <v>596</v>
      </c>
      <c r="B637" s="348"/>
      <c r="C637" s="348"/>
      <c r="D637" s="349"/>
      <c r="E637" s="348"/>
      <c r="F637" s="345"/>
      <c r="G637" s="346"/>
      <c r="H637" s="348">
        <v>1360</v>
      </c>
      <c r="I637" s="345"/>
      <c r="J637" s="349"/>
      <c r="K637" s="325"/>
      <c r="L637" s="325">
        <f t="shared" si="31"/>
        <v>1360</v>
      </c>
      <c r="M637" s="325"/>
      <c r="N637" s="363"/>
      <c r="O637" s="363"/>
      <c r="P637" s="364"/>
    </row>
    <row r="638" ht="16.5" customHeight="1" spans="1:16">
      <c r="A638" s="347" t="s">
        <v>597</v>
      </c>
      <c r="B638" s="348"/>
      <c r="C638" s="348"/>
      <c r="D638" s="349"/>
      <c r="E638" s="348"/>
      <c r="F638" s="345"/>
      <c r="G638" s="346"/>
      <c r="H638" s="348">
        <v>4427</v>
      </c>
      <c r="I638" s="345"/>
      <c r="J638" s="349"/>
      <c r="K638" s="325"/>
      <c r="L638" s="325">
        <f t="shared" si="31"/>
        <v>4427</v>
      </c>
      <c r="M638" s="325"/>
      <c r="N638" s="363"/>
      <c r="O638" s="363"/>
      <c r="P638" s="364"/>
    </row>
    <row r="639" ht="16.5" customHeight="1" spans="1:16">
      <c r="A639" s="347" t="s">
        <v>598</v>
      </c>
      <c r="B639" s="348"/>
      <c r="C639" s="348"/>
      <c r="D639" s="349"/>
      <c r="E639" s="348"/>
      <c r="F639" s="345"/>
      <c r="G639" s="346"/>
      <c r="H639" s="348">
        <v>17355.38</v>
      </c>
      <c r="I639" s="345"/>
      <c r="J639" s="349"/>
      <c r="K639" s="325"/>
      <c r="L639" s="325">
        <f t="shared" si="31"/>
        <v>17355.38</v>
      </c>
      <c r="M639" s="325"/>
      <c r="N639" s="363"/>
      <c r="O639" s="363"/>
      <c r="P639" s="364"/>
    </row>
    <row r="640" s="326" customFormat="1" ht="16.5" customHeight="1" spans="1:16">
      <c r="A640" s="347" t="s">
        <v>599</v>
      </c>
      <c r="B640" s="348">
        <v>118744</v>
      </c>
      <c r="C640" s="348">
        <v>70410</v>
      </c>
      <c r="D640" s="349">
        <f>C640/B640*100</f>
        <v>59.2956275685508</v>
      </c>
      <c r="E640" s="348">
        <v>51542</v>
      </c>
      <c r="F640" s="345">
        <f>C640-E640</f>
        <v>18868</v>
      </c>
      <c r="G640" s="346">
        <f>F640/E640*100</f>
        <v>36.607038919716</v>
      </c>
      <c r="H640" s="348">
        <f>SUM(H641:H651)</f>
        <v>116232.315605</v>
      </c>
      <c r="I640" s="345">
        <f>H640-B640</f>
        <v>-2511.68439499999</v>
      </c>
      <c r="J640" s="349">
        <f>I640/B640*100</f>
        <v>-2.11520952216532</v>
      </c>
      <c r="K640" s="325"/>
      <c r="L640" s="325">
        <f t="shared" si="31"/>
        <v>321836.418666966</v>
      </c>
      <c r="M640" s="325"/>
      <c r="N640" s="363"/>
      <c r="O640" s="363"/>
      <c r="P640" s="364"/>
    </row>
    <row r="641" ht="16.5" customHeight="1" spans="1:16">
      <c r="A641" s="347" t="s">
        <v>600</v>
      </c>
      <c r="B641" s="348"/>
      <c r="C641" s="348"/>
      <c r="D641" s="349"/>
      <c r="E641" s="348"/>
      <c r="F641" s="345"/>
      <c r="G641" s="346"/>
      <c r="H641" s="348">
        <v>14381.574671</v>
      </c>
      <c r="I641" s="345"/>
      <c r="J641" s="349"/>
      <c r="K641" s="325"/>
      <c r="L641" s="325">
        <f t="shared" si="31"/>
        <v>14381.574671</v>
      </c>
      <c r="M641" s="325"/>
      <c r="N641" s="363"/>
      <c r="O641" s="363"/>
      <c r="P641" s="364"/>
    </row>
    <row r="642" ht="16.5" customHeight="1" spans="1:16">
      <c r="A642" s="347" t="s">
        <v>601</v>
      </c>
      <c r="B642" s="348"/>
      <c r="C642" s="348"/>
      <c r="D642" s="349"/>
      <c r="E642" s="348"/>
      <c r="F642" s="345"/>
      <c r="G642" s="346"/>
      <c r="H642" s="348">
        <v>1466.918</v>
      </c>
      <c r="I642" s="345"/>
      <c r="J642" s="349"/>
      <c r="K642" s="325"/>
      <c r="L642" s="325">
        <f t="shared" si="31"/>
        <v>1466.918</v>
      </c>
      <c r="M642" s="325"/>
      <c r="N642" s="363"/>
      <c r="O642" s="363"/>
      <c r="P642" s="364"/>
    </row>
    <row r="643" ht="16.5" customHeight="1" spans="1:16">
      <c r="A643" s="347" t="s">
        <v>602</v>
      </c>
      <c r="B643" s="348"/>
      <c r="C643" s="348"/>
      <c r="D643" s="349"/>
      <c r="E643" s="348"/>
      <c r="F643" s="345"/>
      <c r="G643" s="346"/>
      <c r="H643" s="348">
        <f>1904.987372-90</f>
        <v>1814.987372</v>
      </c>
      <c r="I643" s="345"/>
      <c r="J643" s="349"/>
      <c r="K643" s="325"/>
      <c r="L643" s="325">
        <f t="shared" si="31"/>
        <v>1814.987372</v>
      </c>
      <c r="M643" s="325"/>
      <c r="N643" s="363"/>
      <c r="O643" s="363"/>
      <c r="P643" s="364"/>
    </row>
    <row r="644" ht="16.5" customHeight="1" spans="1:16">
      <c r="A644" s="347" t="s">
        <v>603</v>
      </c>
      <c r="B644" s="348"/>
      <c r="C644" s="348"/>
      <c r="D644" s="349"/>
      <c r="E644" s="348"/>
      <c r="F644" s="345"/>
      <c r="G644" s="346"/>
      <c r="H644" s="348">
        <v>10</v>
      </c>
      <c r="I644" s="345"/>
      <c r="J644" s="349"/>
      <c r="K644" s="325"/>
      <c r="L644" s="325">
        <f t="shared" si="31"/>
        <v>10</v>
      </c>
      <c r="M644" s="325"/>
      <c r="N644" s="363"/>
      <c r="O644" s="363"/>
      <c r="P644" s="364"/>
    </row>
    <row r="645" ht="16.5" hidden="1" customHeight="1" spans="1:16">
      <c r="A645" s="347" t="s">
        <v>604</v>
      </c>
      <c r="B645" s="348"/>
      <c r="C645" s="348"/>
      <c r="D645" s="349"/>
      <c r="E645" s="348"/>
      <c r="F645" s="345"/>
      <c r="G645" s="346"/>
      <c r="H645" s="348">
        <v>0</v>
      </c>
      <c r="I645" s="345"/>
      <c r="J645" s="349"/>
      <c r="K645" s="325"/>
      <c r="L645" s="325">
        <f t="shared" si="31"/>
        <v>0</v>
      </c>
      <c r="M645" s="325"/>
      <c r="N645" s="363"/>
      <c r="O645" s="363"/>
      <c r="P645" s="364"/>
    </row>
    <row r="646" ht="16.5" customHeight="1" spans="1:16">
      <c r="A646" s="347" t="s">
        <v>605</v>
      </c>
      <c r="B646" s="348"/>
      <c r="C646" s="348"/>
      <c r="D646" s="349"/>
      <c r="E646" s="348"/>
      <c r="F646" s="345"/>
      <c r="G646" s="346"/>
      <c r="H646" s="348">
        <f>314.202189+82</f>
        <v>396.202189</v>
      </c>
      <c r="I646" s="345"/>
      <c r="J646" s="349"/>
      <c r="K646" s="325"/>
      <c r="L646" s="325">
        <f t="shared" si="31"/>
        <v>396.202189</v>
      </c>
      <c r="M646" s="325"/>
      <c r="N646" s="363"/>
      <c r="O646" s="363"/>
      <c r="P646" s="364"/>
    </row>
    <row r="647" ht="16.5" customHeight="1" spans="1:16">
      <c r="A647" s="347" t="s">
        <v>606</v>
      </c>
      <c r="B647" s="348"/>
      <c r="C647" s="348"/>
      <c r="D647" s="349"/>
      <c r="E647" s="348"/>
      <c r="F647" s="345"/>
      <c r="G647" s="346"/>
      <c r="H647" s="348">
        <f>200.631629+8</f>
        <v>208.631629</v>
      </c>
      <c r="I647" s="345"/>
      <c r="J647" s="349"/>
      <c r="K647" s="325"/>
      <c r="L647" s="325">
        <f t="shared" si="31"/>
        <v>208.631629</v>
      </c>
      <c r="M647" s="325"/>
      <c r="N647" s="363"/>
      <c r="O647" s="363"/>
      <c r="P647" s="364"/>
    </row>
    <row r="648" ht="16.5" customHeight="1" spans="1:16">
      <c r="A648" s="347" t="s">
        <v>607</v>
      </c>
      <c r="B648" s="348"/>
      <c r="C648" s="348"/>
      <c r="D648" s="349"/>
      <c r="E648" s="348"/>
      <c r="F648" s="345"/>
      <c r="G648" s="346"/>
      <c r="H648" s="348">
        <v>47889.254239</v>
      </c>
      <c r="I648" s="345"/>
      <c r="J648" s="349"/>
      <c r="K648" s="325"/>
      <c r="L648" s="325">
        <f t="shared" ref="L648:L711" si="35">B648+C648+D648+F648+G648+H648+I648+J648</f>
        <v>47889.254239</v>
      </c>
      <c r="M648" s="325"/>
      <c r="N648" s="363"/>
      <c r="O648" s="363"/>
      <c r="P648" s="364"/>
    </row>
    <row r="649" ht="16.5" customHeight="1" spans="1:16">
      <c r="A649" s="347" t="s">
        <v>608</v>
      </c>
      <c r="B649" s="348"/>
      <c r="C649" s="348"/>
      <c r="D649" s="349"/>
      <c r="E649" s="348"/>
      <c r="F649" s="345"/>
      <c r="G649" s="346"/>
      <c r="H649" s="348">
        <v>6755.747505</v>
      </c>
      <c r="I649" s="345"/>
      <c r="J649" s="349"/>
      <c r="K649" s="325"/>
      <c r="L649" s="325">
        <f t="shared" si="35"/>
        <v>6755.747505</v>
      </c>
      <c r="M649" s="325"/>
      <c r="N649" s="363"/>
      <c r="O649" s="363"/>
      <c r="P649" s="364"/>
    </row>
    <row r="650" ht="16.5" hidden="1" customHeight="1" spans="1:16">
      <c r="A650" s="347" t="s">
        <v>609</v>
      </c>
      <c r="B650" s="348"/>
      <c r="C650" s="348"/>
      <c r="D650" s="349"/>
      <c r="E650" s="348"/>
      <c r="F650" s="345"/>
      <c r="G650" s="346"/>
      <c r="H650" s="348">
        <v>0</v>
      </c>
      <c r="I650" s="345"/>
      <c r="J650" s="349"/>
      <c r="K650" s="325"/>
      <c r="L650" s="325">
        <f t="shared" si="35"/>
        <v>0</v>
      </c>
      <c r="M650" s="325"/>
      <c r="N650" s="363"/>
      <c r="O650" s="363"/>
      <c r="P650" s="364"/>
    </row>
    <row r="651" ht="16.5" customHeight="1" spans="1:16">
      <c r="A651" s="347" t="s">
        <v>610</v>
      </c>
      <c r="B651" s="348"/>
      <c r="C651" s="348"/>
      <c r="D651" s="349"/>
      <c r="E651" s="348"/>
      <c r="F651" s="345"/>
      <c r="G651" s="346"/>
      <c r="H651" s="348">
        <v>43309</v>
      </c>
      <c r="I651" s="345"/>
      <c r="J651" s="349"/>
      <c r="K651" s="325"/>
      <c r="L651" s="325">
        <f t="shared" si="35"/>
        <v>43309</v>
      </c>
      <c r="M651" s="325"/>
      <c r="N651" s="363"/>
      <c r="O651" s="363"/>
      <c r="P651" s="364"/>
    </row>
    <row r="652" s="326" customFormat="1" ht="16.5" customHeight="1" spans="1:16">
      <c r="A652" s="347" t="s">
        <v>611</v>
      </c>
      <c r="B652" s="348">
        <v>5701</v>
      </c>
      <c r="C652" s="348">
        <v>6526</v>
      </c>
      <c r="D652" s="349">
        <f>C652/B652*100</f>
        <v>114.471145413085</v>
      </c>
      <c r="E652" s="348">
        <v>6870</v>
      </c>
      <c r="F652" s="345">
        <f>C652-E652</f>
        <v>-344</v>
      </c>
      <c r="G652" s="346">
        <f>F652/E652*100</f>
        <v>-5.00727802037846</v>
      </c>
      <c r="H652" s="348">
        <f>SUM(H653:H655)</f>
        <v>6466.523098</v>
      </c>
      <c r="I652" s="345">
        <f>H652-B652</f>
        <v>765.523098000001</v>
      </c>
      <c r="J652" s="349">
        <f>I652/B652*100</f>
        <v>13.4278740221014</v>
      </c>
      <c r="K652" s="325"/>
      <c r="L652" s="325">
        <f t="shared" si="35"/>
        <v>19237.9379374148</v>
      </c>
      <c r="M652" s="325"/>
      <c r="N652" s="363"/>
      <c r="O652" s="363"/>
      <c r="P652" s="364"/>
    </row>
    <row r="653" ht="16.5" customHeight="1" spans="1:16">
      <c r="A653" s="347" t="s">
        <v>612</v>
      </c>
      <c r="B653" s="348"/>
      <c r="C653" s="348"/>
      <c r="D653" s="349"/>
      <c r="E653" s="348"/>
      <c r="F653" s="345"/>
      <c r="G653" s="346"/>
      <c r="H653" s="348">
        <v>3180.403098</v>
      </c>
      <c r="I653" s="345"/>
      <c r="J653" s="349"/>
      <c r="K653" s="325"/>
      <c r="L653" s="325">
        <f t="shared" si="35"/>
        <v>3180.403098</v>
      </c>
      <c r="M653" s="325"/>
      <c r="N653" s="363"/>
      <c r="O653" s="363"/>
      <c r="P653" s="364"/>
    </row>
    <row r="654" ht="16.5" customHeight="1" spans="1:16">
      <c r="A654" s="347" t="s">
        <v>613</v>
      </c>
      <c r="B654" s="348"/>
      <c r="C654" s="348"/>
      <c r="D654" s="349"/>
      <c r="E654" s="348"/>
      <c r="F654" s="345"/>
      <c r="G654" s="346"/>
      <c r="H654" s="348">
        <v>2758</v>
      </c>
      <c r="I654" s="345"/>
      <c r="J654" s="349"/>
      <c r="K654" s="325"/>
      <c r="L654" s="325">
        <f t="shared" si="35"/>
        <v>2758</v>
      </c>
      <c r="M654" s="325"/>
      <c r="N654" s="363"/>
      <c r="O654" s="363"/>
      <c r="P654" s="364"/>
    </row>
    <row r="655" ht="16.5" customHeight="1" spans="1:16">
      <c r="A655" s="347" t="s">
        <v>614</v>
      </c>
      <c r="B655" s="348"/>
      <c r="C655" s="348"/>
      <c r="D655" s="349"/>
      <c r="E655" s="348"/>
      <c r="F655" s="345"/>
      <c r="G655" s="346"/>
      <c r="H655" s="348">
        <v>528.12</v>
      </c>
      <c r="I655" s="345"/>
      <c r="J655" s="349"/>
      <c r="K655" s="325"/>
      <c r="L655" s="325">
        <f t="shared" si="35"/>
        <v>528.12</v>
      </c>
      <c r="M655" s="325"/>
      <c r="N655" s="363"/>
      <c r="O655" s="363"/>
      <c r="P655" s="364"/>
    </row>
    <row r="656" s="326" customFormat="1" ht="16.5" customHeight="1" spans="1:16">
      <c r="A656" s="347" t="s">
        <v>615</v>
      </c>
      <c r="B656" s="348">
        <v>63538</v>
      </c>
      <c r="C656" s="348">
        <v>57585</v>
      </c>
      <c r="D656" s="349">
        <f>C656/B656*100</f>
        <v>90.6308036135856</v>
      </c>
      <c r="E656" s="348">
        <v>62960</v>
      </c>
      <c r="F656" s="345">
        <f>C656-E656</f>
        <v>-5375</v>
      </c>
      <c r="G656" s="346">
        <f>F656/E656*100</f>
        <v>-8.537166454892</v>
      </c>
      <c r="H656" s="348">
        <f>SUM(H657:H660)</f>
        <v>71811.649969</v>
      </c>
      <c r="I656" s="345">
        <f>H656-B656</f>
        <v>8273.64996899999</v>
      </c>
      <c r="J656" s="349">
        <f>I656/B656*100</f>
        <v>13.0215775897888</v>
      </c>
      <c r="K656" s="325"/>
      <c r="L656" s="325">
        <f t="shared" si="35"/>
        <v>195928.415152748</v>
      </c>
      <c r="M656" s="325"/>
      <c r="N656" s="363"/>
      <c r="O656" s="363"/>
      <c r="P656" s="364"/>
    </row>
    <row r="657" ht="16.5" customHeight="1" spans="1:16">
      <c r="A657" s="347" t="s">
        <v>616</v>
      </c>
      <c r="B657" s="348"/>
      <c r="C657" s="348"/>
      <c r="D657" s="349"/>
      <c r="E657" s="348"/>
      <c r="F657" s="345"/>
      <c r="G657" s="346"/>
      <c r="H657" s="348">
        <v>16729.373967</v>
      </c>
      <c r="I657" s="345"/>
      <c r="J657" s="349"/>
      <c r="K657" s="325"/>
      <c r="L657" s="325">
        <f t="shared" si="35"/>
        <v>16729.373967</v>
      </c>
      <c r="M657" s="325"/>
      <c r="N657" s="363"/>
      <c r="O657" s="363"/>
      <c r="P657" s="364"/>
    </row>
    <row r="658" ht="16.5" customHeight="1" spans="1:16">
      <c r="A658" s="347" t="s">
        <v>617</v>
      </c>
      <c r="B658" s="348"/>
      <c r="C658" s="348"/>
      <c r="D658" s="349"/>
      <c r="E658" s="348"/>
      <c r="F658" s="345"/>
      <c r="G658" s="346"/>
      <c r="H658" s="348">
        <v>45387.385253</v>
      </c>
      <c r="I658" s="345"/>
      <c r="J658" s="349"/>
      <c r="K658" s="325"/>
      <c r="L658" s="325">
        <f t="shared" si="35"/>
        <v>45387.385253</v>
      </c>
      <c r="M658" s="325"/>
      <c r="N658" s="363"/>
      <c r="O658" s="363"/>
      <c r="P658" s="364"/>
    </row>
    <row r="659" ht="16.5" customHeight="1" spans="1:16">
      <c r="A659" s="347" t="s">
        <v>618</v>
      </c>
      <c r="B659" s="348"/>
      <c r="C659" s="348"/>
      <c r="D659" s="349"/>
      <c r="E659" s="348"/>
      <c r="F659" s="345"/>
      <c r="G659" s="346"/>
      <c r="H659" s="348">
        <f>8062.257356+600</f>
        <v>8662.257356</v>
      </c>
      <c r="I659" s="345"/>
      <c r="J659" s="349"/>
      <c r="K659" s="325"/>
      <c r="L659" s="325">
        <f t="shared" si="35"/>
        <v>8662.257356</v>
      </c>
      <c r="M659" s="325"/>
      <c r="N659" s="363"/>
      <c r="O659" s="363"/>
      <c r="P659" s="364"/>
    </row>
    <row r="660" ht="16.5" customHeight="1" spans="1:16">
      <c r="A660" s="347" t="s">
        <v>619</v>
      </c>
      <c r="B660" s="348"/>
      <c r="C660" s="348"/>
      <c r="D660" s="349"/>
      <c r="E660" s="348"/>
      <c r="F660" s="345"/>
      <c r="G660" s="346"/>
      <c r="H660" s="348">
        <v>1032.633393</v>
      </c>
      <c r="I660" s="345"/>
      <c r="J660" s="349"/>
      <c r="K660" s="325"/>
      <c r="L660" s="325">
        <f t="shared" si="35"/>
        <v>1032.633393</v>
      </c>
      <c r="M660" s="325"/>
      <c r="N660" s="363"/>
      <c r="O660" s="363"/>
      <c r="P660" s="364"/>
    </row>
    <row r="661" s="326" customFormat="1" ht="16.5" customHeight="1" spans="1:16">
      <c r="A661" s="347" t="s">
        <v>620</v>
      </c>
      <c r="B661" s="348">
        <v>352437</v>
      </c>
      <c r="C661" s="348">
        <v>374174</v>
      </c>
      <c r="D661" s="349">
        <f>C661/B661*100</f>
        <v>106.16762712201</v>
      </c>
      <c r="E661" s="348">
        <v>368744</v>
      </c>
      <c r="F661" s="345">
        <f>C661-E661</f>
        <v>5430</v>
      </c>
      <c r="G661" s="346">
        <f>F661/E661*100</f>
        <v>1.47256633328271</v>
      </c>
      <c r="H661" s="348">
        <f>SUM(H662:H664)</f>
        <v>341851.42</v>
      </c>
      <c r="I661" s="345">
        <f>H661-B661</f>
        <v>-10585.58</v>
      </c>
      <c r="J661" s="349">
        <f>I661/B661*100</f>
        <v>-3.00353822101539</v>
      </c>
      <c r="K661" s="325"/>
      <c r="L661" s="325">
        <f t="shared" si="35"/>
        <v>1063411.47665523</v>
      </c>
      <c r="M661" s="325"/>
      <c r="N661" s="363"/>
      <c r="O661" s="363"/>
      <c r="P661" s="364"/>
    </row>
    <row r="662" ht="16.5" customHeight="1" spans="1:16">
      <c r="A662" s="347" t="s">
        <v>621</v>
      </c>
      <c r="B662" s="348"/>
      <c r="C662" s="348"/>
      <c r="D662" s="349"/>
      <c r="E662" s="348"/>
      <c r="F662" s="345"/>
      <c r="G662" s="346"/>
      <c r="H662" s="367">
        <v>1488</v>
      </c>
      <c r="I662" s="345"/>
      <c r="J662" s="349"/>
      <c r="K662" s="325"/>
      <c r="L662" s="325">
        <f t="shared" si="35"/>
        <v>1488</v>
      </c>
      <c r="M662" s="325"/>
      <c r="N662" s="363"/>
      <c r="O662" s="363"/>
      <c r="P662" s="364"/>
    </row>
    <row r="663" ht="16.5" customHeight="1" spans="1:16">
      <c r="A663" s="347" t="s">
        <v>622</v>
      </c>
      <c r="B663" s="348"/>
      <c r="C663" s="348"/>
      <c r="D663" s="349"/>
      <c r="E663" s="348"/>
      <c r="F663" s="345"/>
      <c r="G663" s="346"/>
      <c r="H663" s="367">
        <f>355473.42-14510-600</f>
        <v>340363.42</v>
      </c>
      <c r="I663" s="345"/>
      <c r="J663" s="349"/>
      <c r="K663" s="325"/>
      <c r="L663" s="325">
        <f t="shared" si="35"/>
        <v>340363.42</v>
      </c>
      <c r="M663" s="325"/>
      <c r="N663" s="363"/>
      <c r="O663" s="363"/>
      <c r="P663" s="364"/>
    </row>
    <row r="664" ht="16.5" hidden="1" customHeight="1" spans="1:16">
      <c r="A664" s="347" t="s">
        <v>623</v>
      </c>
      <c r="B664" s="348"/>
      <c r="C664" s="348"/>
      <c r="D664" s="349"/>
      <c r="E664" s="348"/>
      <c r="F664" s="345"/>
      <c r="G664" s="346"/>
      <c r="H664" s="367">
        <v>0</v>
      </c>
      <c r="I664" s="348"/>
      <c r="J664" s="366"/>
      <c r="K664" s="325"/>
      <c r="L664" s="325">
        <f t="shared" si="35"/>
        <v>0</v>
      </c>
      <c r="M664" s="325"/>
      <c r="N664" s="374"/>
      <c r="O664" s="374"/>
      <c r="P664" s="364"/>
    </row>
    <row r="665" s="326" customFormat="1" ht="16.5" customHeight="1" spans="1:16">
      <c r="A665" s="347" t="s">
        <v>624</v>
      </c>
      <c r="B665" s="348">
        <v>35058</v>
      </c>
      <c r="C665" s="348">
        <v>34466</v>
      </c>
      <c r="D665" s="349">
        <f>C665/B665*100</f>
        <v>98.3113697301614</v>
      </c>
      <c r="E665" s="348">
        <v>28688</v>
      </c>
      <c r="F665" s="345">
        <f>C665-E665</f>
        <v>5778</v>
      </c>
      <c r="G665" s="346">
        <f>F665/E665*100</f>
        <v>20.1408254322365</v>
      </c>
      <c r="H665" s="348">
        <f>SUM(H666:H668)</f>
        <v>40391</v>
      </c>
      <c r="I665" s="345">
        <f>H665-B665</f>
        <v>5333</v>
      </c>
      <c r="J665" s="349">
        <f>I665/B665*100</f>
        <v>15.2119345085287</v>
      </c>
      <c r="K665" s="325"/>
      <c r="L665" s="325">
        <f t="shared" si="35"/>
        <v>121159.664129671</v>
      </c>
      <c r="M665" s="325"/>
      <c r="N665" s="363"/>
      <c r="O665" s="363"/>
      <c r="P665" s="364"/>
    </row>
    <row r="666" ht="16.5" customHeight="1" spans="1:16">
      <c r="A666" s="347" t="s">
        <v>625</v>
      </c>
      <c r="B666" s="348"/>
      <c r="C666" s="348"/>
      <c r="D666" s="349"/>
      <c r="E666" s="348"/>
      <c r="F666" s="345"/>
      <c r="G666" s="346"/>
      <c r="H666" s="348">
        <v>40091</v>
      </c>
      <c r="I666" s="345"/>
      <c r="J666" s="349"/>
      <c r="K666" s="325"/>
      <c r="L666" s="325">
        <f t="shared" si="35"/>
        <v>40091</v>
      </c>
      <c r="M666" s="325"/>
      <c r="N666" s="363"/>
      <c r="O666" s="363"/>
      <c r="P666" s="364"/>
    </row>
    <row r="667" ht="16.5" hidden="1" customHeight="1" spans="1:16">
      <c r="A667" s="347" t="s">
        <v>626</v>
      </c>
      <c r="B667" s="348"/>
      <c r="C667" s="348"/>
      <c r="D667" s="349"/>
      <c r="E667" s="348"/>
      <c r="F667" s="345"/>
      <c r="G667" s="346"/>
      <c r="H667" s="348">
        <v>0</v>
      </c>
      <c r="I667" s="345"/>
      <c r="J667" s="349"/>
      <c r="K667" s="325"/>
      <c r="L667" s="325">
        <f t="shared" si="35"/>
        <v>0</v>
      </c>
      <c r="M667" s="325"/>
      <c r="N667" s="363"/>
      <c r="O667" s="363"/>
      <c r="P667" s="364"/>
    </row>
    <row r="668" ht="16.5" customHeight="1" spans="1:16">
      <c r="A668" s="347" t="s">
        <v>627</v>
      </c>
      <c r="B668" s="348"/>
      <c r="C668" s="348"/>
      <c r="D668" s="349"/>
      <c r="E668" s="348"/>
      <c r="F668" s="345"/>
      <c r="G668" s="346"/>
      <c r="H668" s="348">
        <v>300</v>
      </c>
      <c r="I668" s="345"/>
      <c r="J668" s="349"/>
      <c r="K668" s="325"/>
      <c r="L668" s="325">
        <f t="shared" si="35"/>
        <v>300</v>
      </c>
      <c r="M668" s="325"/>
      <c r="N668" s="363"/>
      <c r="O668" s="363"/>
      <c r="P668" s="364"/>
    </row>
    <row r="669" s="326" customFormat="1" ht="16.5" customHeight="1" spans="1:16">
      <c r="A669" s="347" t="s">
        <v>628</v>
      </c>
      <c r="B669" s="348">
        <v>2343</v>
      </c>
      <c r="C669" s="348">
        <v>2240</v>
      </c>
      <c r="D669" s="349">
        <f>C669/B669*100</f>
        <v>95.6039265898421</v>
      </c>
      <c r="E669" s="348">
        <v>2648</v>
      </c>
      <c r="F669" s="345">
        <f>C669-E669</f>
        <v>-408</v>
      </c>
      <c r="G669" s="346">
        <f>F669/E669*100</f>
        <v>-15.4078549848943</v>
      </c>
      <c r="H669" s="348">
        <f>SUM(H670:H671)</f>
        <v>2536.6685</v>
      </c>
      <c r="I669" s="345">
        <f>H669-B669</f>
        <v>193.6685</v>
      </c>
      <c r="J669" s="349">
        <f>I669/B669*100</f>
        <v>8.26583440034145</v>
      </c>
      <c r="K669" s="325"/>
      <c r="L669" s="325">
        <f t="shared" si="35"/>
        <v>6993.79890600529</v>
      </c>
      <c r="M669" s="325"/>
      <c r="N669" s="363"/>
      <c r="O669" s="363"/>
      <c r="P669" s="364"/>
    </row>
    <row r="670" ht="16.5" customHeight="1" spans="1:16">
      <c r="A670" s="347" t="s">
        <v>629</v>
      </c>
      <c r="B670" s="348"/>
      <c r="C670" s="348"/>
      <c r="D670" s="349"/>
      <c r="E670" s="348"/>
      <c r="F670" s="345"/>
      <c r="G670" s="346"/>
      <c r="H670" s="348">
        <v>2536.6685</v>
      </c>
      <c r="I670" s="345"/>
      <c r="J670" s="349"/>
      <c r="K670" s="325"/>
      <c r="L670" s="325">
        <f t="shared" si="35"/>
        <v>2536.6685</v>
      </c>
      <c r="M670" s="325"/>
      <c r="N670" s="363"/>
      <c r="O670" s="363"/>
      <c r="P670" s="364"/>
    </row>
    <row r="671" ht="16.5" hidden="1" customHeight="1" spans="1:16">
      <c r="A671" s="347" t="s">
        <v>630</v>
      </c>
      <c r="B671" s="348"/>
      <c r="C671" s="348">
        <v>0</v>
      </c>
      <c r="D671" s="349"/>
      <c r="E671" s="348"/>
      <c r="F671" s="345"/>
      <c r="G671" s="346"/>
      <c r="H671" s="348">
        <v>0</v>
      </c>
      <c r="I671" s="345"/>
      <c r="J671" s="349"/>
      <c r="K671" s="325"/>
      <c r="L671" s="325">
        <f t="shared" si="35"/>
        <v>0</v>
      </c>
      <c r="M671" s="325"/>
      <c r="N671" s="363"/>
      <c r="O671" s="363"/>
      <c r="P671" s="364"/>
    </row>
    <row r="672" s="326" customFormat="1" ht="16.5" customHeight="1" spans="1:16">
      <c r="A672" s="347" t="s">
        <v>631</v>
      </c>
      <c r="B672" s="348">
        <v>5126</v>
      </c>
      <c r="C672" s="348">
        <v>6213</v>
      </c>
      <c r="D672" s="349">
        <f>C672/B672*100</f>
        <v>121.205618415919</v>
      </c>
      <c r="E672" s="348">
        <v>6330</v>
      </c>
      <c r="F672" s="345">
        <f>C672-E672</f>
        <v>-117</v>
      </c>
      <c r="G672" s="346">
        <f>F672/E672*100</f>
        <v>-1.84834123222749</v>
      </c>
      <c r="H672" s="348">
        <f>SUM(H673:H680)</f>
        <v>5520.972689</v>
      </c>
      <c r="I672" s="345">
        <f>H672-B672</f>
        <v>394.972689</v>
      </c>
      <c r="J672" s="349">
        <f>I672/B672*100</f>
        <v>7.70528070620367</v>
      </c>
      <c r="K672" s="325"/>
      <c r="L672" s="325">
        <f t="shared" si="35"/>
        <v>17265.0079358899</v>
      </c>
      <c r="M672" s="325"/>
      <c r="N672" s="363"/>
      <c r="O672" s="363"/>
      <c r="P672" s="364"/>
    </row>
    <row r="673" ht="16.5" customHeight="1" spans="1:16">
      <c r="A673" s="347" t="s">
        <v>155</v>
      </c>
      <c r="B673" s="348"/>
      <c r="C673" s="348"/>
      <c r="D673" s="349"/>
      <c r="E673" s="348"/>
      <c r="F673" s="345"/>
      <c r="G673" s="346"/>
      <c r="H673" s="348">
        <v>2017.685489</v>
      </c>
      <c r="I673" s="345"/>
      <c r="J673" s="349"/>
      <c r="K673" s="325"/>
      <c r="L673" s="325">
        <f t="shared" si="35"/>
        <v>2017.685489</v>
      </c>
      <c r="M673" s="325"/>
      <c r="N673" s="363"/>
      <c r="O673" s="363"/>
      <c r="P673" s="364"/>
    </row>
    <row r="674" ht="16.5" customHeight="1" spans="1:16">
      <c r="A674" s="347" t="s">
        <v>156</v>
      </c>
      <c r="B674" s="348"/>
      <c r="C674" s="348"/>
      <c r="D674" s="349"/>
      <c r="E674" s="348"/>
      <c r="F674" s="345"/>
      <c r="G674" s="346"/>
      <c r="H674" s="348">
        <v>43</v>
      </c>
      <c r="I674" s="345"/>
      <c r="J674" s="349"/>
      <c r="K674" s="325"/>
      <c r="L674" s="325">
        <f t="shared" si="35"/>
        <v>43</v>
      </c>
      <c r="M674" s="325"/>
      <c r="N674" s="363"/>
      <c r="O674" s="363"/>
      <c r="P674" s="364"/>
    </row>
    <row r="675" ht="16.5" hidden="1" customHeight="1" spans="1:16">
      <c r="A675" s="347" t="s">
        <v>157</v>
      </c>
      <c r="B675" s="348"/>
      <c r="C675" s="348"/>
      <c r="D675" s="349"/>
      <c r="E675" s="348"/>
      <c r="F675" s="345"/>
      <c r="G675" s="346"/>
      <c r="H675" s="348">
        <v>0</v>
      </c>
      <c r="I675" s="345"/>
      <c r="J675" s="349"/>
      <c r="K675" s="325"/>
      <c r="L675" s="325">
        <f t="shared" si="35"/>
        <v>0</v>
      </c>
      <c r="M675" s="325"/>
      <c r="N675" s="363"/>
      <c r="O675" s="363"/>
      <c r="P675" s="364"/>
    </row>
    <row r="676" ht="16.5" customHeight="1" spans="1:16">
      <c r="A676" s="347" t="s">
        <v>195</v>
      </c>
      <c r="B676" s="348"/>
      <c r="C676" s="348"/>
      <c r="D676" s="349"/>
      <c r="E676" s="348"/>
      <c r="F676" s="345"/>
      <c r="G676" s="346"/>
      <c r="H676" s="348">
        <v>20</v>
      </c>
      <c r="I676" s="345"/>
      <c r="J676" s="349"/>
      <c r="K676" s="325"/>
      <c r="L676" s="325">
        <f t="shared" si="35"/>
        <v>20</v>
      </c>
      <c r="M676" s="325"/>
      <c r="N676" s="363"/>
      <c r="O676" s="363"/>
      <c r="P676" s="364"/>
    </row>
    <row r="677" ht="16.5" customHeight="1" spans="1:16">
      <c r="A677" s="347" t="s">
        <v>632</v>
      </c>
      <c r="B677" s="348"/>
      <c r="C677" s="348"/>
      <c r="D677" s="349"/>
      <c r="E677" s="348"/>
      <c r="F677" s="345"/>
      <c r="G677" s="346"/>
      <c r="H677" s="348">
        <f>125.54+100</f>
        <v>225.54</v>
      </c>
      <c r="I677" s="345"/>
      <c r="J677" s="349"/>
      <c r="K677" s="325"/>
      <c r="L677" s="325">
        <f t="shared" si="35"/>
        <v>225.54</v>
      </c>
      <c r="M677" s="325"/>
      <c r="N677" s="363"/>
      <c r="O677" s="363"/>
      <c r="P677" s="364"/>
    </row>
    <row r="678" ht="16.5" customHeight="1" spans="1:16">
      <c r="A678" s="347" t="s">
        <v>633</v>
      </c>
      <c r="B678" s="348"/>
      <c r="C678" s="348"/>
      <c r="D678" s="349"/>
      <c r="E678" s="348"/>
      <c r="F678" s="345"/>
      <c r="G678" s="346"/>
      <c r="H678" s="348">
        <v>678.6</v>
      </c>
      <c r="I678" s="345"/>
      <c r="J678" s="349"/>
      <c r="K678" s="325"/>
      <c r="L678" s="325">
        <f t="shared" si="35"/>
        <v>678.6</v>
      </c>
      <c r="M678" s="325"/>
      <c r="N678" s="363"/>
      <c r="O678" s="363"/>
      <c r="P678" s="364"/>
    </row>
    <row r="679" ht="16.5" customHeight="1" spans="1:16">
      <c r="A679" s="347" t="s">
        <v>164</v>
      </c>
      <c r="B679" s="348"/>
      <c r="C679" s="348"/>
      <c r="D679" s="349"/>
      <c r="E679" s="348"/>
      <c r="F679" s="345"/>
      <c r="G679" s="346"/>
      <c r="H679" s="348">
        <v>2202.1472</v>
      </c>
      <c r="I679" s="345"/>
      <c r="J679" s="349"/>
      <c r="K679" s="325"/>
      <c r="L679" s="325">
        <f t="shared" si="35"/>
        <v>2202.1472</v>
      </c>
      <c r="M679" s="325"/>
      <c r="N679" s="363"/>
      <c r="O679" s="363"/>
      <c r="P679" s="364"/>
    </row>
    <row r="680" ht="16.5" customHeight="1" spans="1:16">
      <c r="A680" s="347" t="s">
        <v>634</v>
      </c>
      <c r="B680" s="348"/>
      <c r="C680" s="348"/>
      <c r="D680" s="349"/>
      <c r="E680" s="348"/>
      <c r="F680" s="345"/>
      <c r="G680" s="346"/>
      <c r="H680" s="348">
        <v>334</v>
      </c>
      <c r="I680" s="345"/>
      <c r="J680" s="349"/>
      <c r="K680" s="325"/>
      <c r="L680" s="325">
        <f t="shared" si="35"/>
        <v>334</v>
      </c>
      <c r="M680" s="325"/>
      <c r="N680" s="363"/>
      <c r="O680" s="363"/>
      <c r="P680" s="364"/>
    </row>
    <row r="681" s="326" customFormat="1" ht="16.5" customHeight="1" spans="1:16">
      <c r="A681" s="347" t="s">
        <v>635</v>
      </c>
      <c r="B681" s="348">
        <v>1412</v>
      </c>
      <c r="C681" s="348">
        <v>954</v>
      </c>
      <c r="D681" s="349">
        <f>C681/B681*100</f>
        <v>67.5637393767705</v>
      </c>
      <c r="E681" s="348">
        <v>1347</v>
      </c>
      <c r="F681" s="345">
        <f>C681-E681</f>
        <v>-393</v>
      </c>
      <c r="G681" s="346">
        <f>F681/E681*100</f>
        <v>-29.1759465478842</v>
      </c>
      <c r="H681" s="348">
        <f>SUM(H682:H687)</f>
        <v>15832.402116</v>
      </c>
      <c r="I681" s="345">
        <f>H681-B681</f>
        <v>14420.402116</v>
      </c>
      <c r="J681" s="349">
        <f>I681/B681*100</f>
        <v>1021.27493739377</v>
      </c>
      <c r="K681" s="325"/>
      <c r="L681" s="325">
        <f t="shared" si="35"/>
        <v>33285.4669622227</v>
      </c>
      <c r="M681" s="325"/>
      <c r="N681" s="363"/>
      <c r="O681" s="363"/>
      <c r="P681" s="364"/>
    </row>
    <row r="682" ht="16.5" hidden="1" customHeight="1" spans="1:16">
      <c r="A682" s="347" t="s">
        <v>155</v>
      </c>
      <c r="B682" s="348"/>
      <c r="C682" s="348">
        <v>0</v>
      </c>
      <c r="D682" s="349"/>
      <c r="E682" s="348"/>
      <c r="F682" s="345"/>
      <c r="G682" s="346"/>
      <c r="H682" s="348">
        <v>0</v>
      </c>
      <c r="I682" s="345"/>
      <c r="J682" s="349"/>
      <c r="K682" s="325"/>
      <c r="L682" s="325">
        <f t="shared" si="35"/>
        <v>0</v>
      </c>
      <c r="M682" s="325"/>
      <c r="N682" s="363"/>
      <c r="O682" s="363"/>
      <c r="P682" s="364"/>
    </row>
    <row r="683" ht="16.5" hidden="1" customHeight="1" spans="1:16">
      <c r="A683" s="347" t="s">
        <v>156</v>
      </c>
      <c r="B683" s="348"/>
      <c r="C683" s="348">
        <v>0</v>
      </c>
      <c r="D683" s="349"/>
      <c r="E683" s="348"/>
      <c r="F683" s="345"/>
      <c r="G683" s="346"/>
      <c r="H683" s="348">
        <v>0</v>
      </c>
      <c r="I683" s="345"/>
      <c r="J683" s="349"/>
      <c r="K683" s="325"/>
      <c r="L683" s="325">
        <f t="shared" si="35"/>
        <v>0</v>
      </c>
      <c r="M683" s="325"/>
      <c r="N683" s="363"/>
      <c r="O683" s="363"/>
      <c r="P683" s="364"/>
    </row>
    <row r="684" ht="16.5" hidden="1" customHeight="1" spans="1:16">
      <c r="A684" s="347" t="s">
        <v>157</v>
      </c>
      <c r="B684" s="348"/>
      <c r="C684" s="348">
        <v>0</v>
      </c>
      <c r="D684" s="349"/>
      <c r="E684" s="348"/>
      <c r="F684" s="345"/>
      <c r="G684" s="346"/>
      <c r="H684" s="348">
        <v>0</v>
      </c>
      <c r="I684" s="345"/>
      <c r="J684" s="349"/>
      <c r="K684" s="325"/>
      <c r="L684" s="325">
        <f t="shared" si="35"/>
        <v>0</v>
      </c>
      <c r="M684" s="325"/>
      <c r="N684" s="363"/>
      <c r="O684" s="363"/>
      <c r="P684" s="364"/>
    </row>
    <row r="685" ht="16.5" customHeight="1" spans="1:16">
      <c r="A685" s="347" t="s">
        <v>636</v>
      </c>
      <c r="B685" s="348"/>
      <c r="C685" s="348"/>
      <c r="D685" s="349"/>
      <c r="E685" s="348"/>
      <c r="F685" s="345"/>
      <c r="G685" s="346"/>
      <c r="H685" s="348">
        <f>487.156267+14410</f>
        <v>14897.156267</v>
      </c>
      <c r="I685" s="345"/>
      <c r="J685" s="349"/>
      <c r="K685" s="325"/>
      <c r="L685" s="325">
        <f t="shared" si="35"/>
        <v>14897.156267</v>
      </c>
      <c r="M685" s="325"/>
      <c r="N685" s="363"/>
      <c r="O685" s="363"/>
      <c r="P685" s="364"/>
    </row>
    <row r="686" ht="16.5" hidden="1" customHeight="1" spans="1:16">
      <c r="A686" s="347" t="s">
        <v>164</v>
      </c>
      <c r="B686" s="326"/>
      <c r="C686" s="348"/>
      <c r="D686" s="349"/>
      <c r="E686" s="348"/>
      <c r="F686" s="345"/>
      <c r="G686" s="346"/>
      <c r="H686" s="348">
        <v>0</v>
      </c>
      <c r="I686" s="345"/>
      <c r="J686" s="349"/>
      <c r="K686" s="325"/>
      <c r="L686" s="325">
        <f t="shared" si="35"/>
        <v>0</v>
      </c>
      <c r="M686" s="325"/>
      <c r="N686" s="363"/>
      <c r="O686" s="363"/>
      <c r="P686" s="364"/>
    </row>
    <row r="687" ht="16.5" customHeight="1" spans="1:16">
      <c r="A687" s="347" t="s">
        <v>637</v>
      </c>
      <c r="B687" s="348"/>
      <c r="C687" s="348"/>
      <c r="D687" s="349"/>
      <c r="E687" s="348"/>
      <c r="F687" s="345"/>
      <c r="G687" s="346"/>
      <c r="H687" s="348">
        <v>935.245849</v>
      </c>
      <c r="I687" s="345"/>
      <c r="J687" s="349"/>
      <c r="K687" s="325"/>
      <c r="L687" s="325">
        <f t="shared" si="35"/>
        <v>935.245849</v>
      </c>
      <c r="M687" s="325"/>
      <c r="N687" s="363"/>
      <c r="O687" s="363"/>
      <c r="P687" s="364"/>
    </row>
    <row r="688" s="326" customFormat="1" ht="16.5" customHeight="1" spans="1:16">
      <c r="A688" s="347" t="s">
        <v>638</v>
      </c>
      <c r="B688" s="348">
        <v>22</v>
      </c>
      <c r="C688" s="348">
        <v>84</v>
      </c>
      <c r="D688" s="349">
        <f>C688/B688*100</f>
        <v>381.818181818182</v>
      </c>
      <c r="E688" s="348"/>
      <c r="F688" s="345">
        <f>C688-E688</f>
        <v>84</v>
      </c>
      <c r="G688" s="346"/>
      <c r="H688" s="348">
        <f>SUM(H689:H692)</f>
        <v>61</v>
      </c>
      <c r="I688" s="345"/>
      <c r="J688" s="349">
        <f>I688/B688*100</f>
        <v>0</v>
      </c>
      <c r="K688" s="325"/>
      <c r="L688" s="325">
        <f t="shared" si="35"/>
        <v>632.818181818182</v>
      </c>
      <c r="M688" s="325"/>
      <c r="N688" s="363"/>
      <c r="O688" s="363"/>
      <c r="P688" s="364"/>
    </row>
    <row r="689" ht="16.5" customHeight="1" spans="1:16">
      <c r="A689" s="347" t="s">
        <v>155</v>
      </c>
      <c r="B689" s="348"/>
      <c r="C689" s="348">
        <v>0</v>
      </c>
      <c r="D689" s="349"/>
      <c r="E689" s="348"/>
      <c r="F689" s="345"/>
      <c r="G689" s="346"/>
      <c r="H689" s="348">
        <v>50</v>
      </c>
      <c r="I689" s="345"/>
      <c r="J689" s="349"/>
      <c r="K689" s="325"/>
      <c r="L689" s="325">
        <f t="shared" si="35"/>
        <v>50</v>
      </c>
      <c r="M689" s="325"/>
      <c r="N689" s="363"/>
      <c r="O689" s="363"/>
      <c r="P689" s="364"/>
    </row>
    <row r="690" ht="16.5" hidden="1" customHeight="1" spans="1:16">
      <c r="A690" s="347" t="s">
        <v>156</v>
      </c>
      <c r="B690" s="348"/>
      <c r="C690" s="348">
        <v>0</v>
      </c>
      <c r="D690" s="349"/>
      <c r="E690" s="348"/>
      <c r="F690" s="345"/>
      <c r="G690" s="346"/>
      <c r="H690" s="348">
        <v>0</v>
      </c>
      <c r="I690" s="345"/>
      <c r="J690" s="349"/>
      <c r="K690" s="325"/>
      <c r="L690" s="325">
        <f t="shared" si="35"/>
        <v>0</v>
      </c>
      <c r="M690" s="325"/>
      <c r="N690" s="363"/>
      <c r="O690" s="363"/>
      <c r="P690" s="364"/>
    </row>
    <row r="691" ht="16.5" hidden="1" customHeight="1" spans="1:16">
      <c r="A691" s="347" t="s">
        <v>157</v>
      </c>
      <c r="B691" s="348"/>
      <c r="C691" s="348">
        <v>0</v>
      </c>
      <c r="D691" s="349"/>
      <c r="E691" s="348"/>
      <c r="F691" s="345"/>
      <c r="G691" s="346"/>
      <c r="H691" s="348">
        <v>0</v>
      </c>
      <c r="I691" s="345"/>
      <c r="J691" s="349"/>
      <c r="K691" s="325"/>
      <c r="L691" s="325">
        <f t="shared" si="35"/>
        <v>0</v>
      </c>
      <c r="M691" s="325"/>
      <c r="N691" s="363"/>
      <c r="O691" s="363"/>
      <c r="P691" s="364"/>
    </row>
    <row r="692" ht="16.5" customHeight="1" spans="1:16">
      <c r="A692" s="347" t="s">
        <v>639</v>
      </c>
      <c r="B692" s="348"/>
      <c r="C692" s="348">
        <v>0</v>
      </c>
      <c r="D692" s="349"/>
      <c r="E692" s="348"/>
      <c r="F692" s="345"/>
      <c r="G692" s="346"/>
      <c r="H692" s="348">
        <v>11</v>
      </c>
      <c r="I692" s="345"/>
      <c r="J692" s="349"/>
      <c r="K692" s="325"/>
      <c r="L692" s="325">
        <f t="shared" si="35"/>
        <v>11</v>
      </c>
      <c r="M692" s="325"/>
      <c r="N692" s="363"/>
      <c r="O692" s="363"/>
      <c r="P692" s="364"/>
    </row>
    <row r="693" s="326" customFormat="1" ht="16.5" customHeight="1" spans="1:16">
      <c r="A693" s="373" t="s">
        <v>640</v>
      </c>
      <c r="B693" s="348"/>
      <c r="C693" s="348">
        <v>51430</v>
      </c>
      <c r="D693" s="349"/>
      <c r="E693" s="348"/>
      <c r="F693" s="345">
        <f>C693-E693</f>
        <v>51430</v>
      </c>
      <c r="G693" s="346"/>
      <c r="H693" s="348">
        <f>SUM(H694:H696)</f>
        <v>3593</v>
      </c>
      <c r="I693" s="345"/>
      <c r="J693" s="349"/>
      <c r="K693" s="325"/>
      <c r="L693" s="325">
        <f t="shared" si="35"/>
        <v>106453</v>
      </c>
      <c r="M693" s="325"/>
      <c r="N693" s="363"/>
      <c r="O693" s="363"/>
      <c r="P693" s="364"/>
    </row>
    <row r="694" ht="16.5" hidden="1" customHeight="1" spans="1:16">
      <c r="A694" s="347" t="s">
        <v>641</v>
      </c>
      <c r="B694" s="348"/>
      <c r="C694" s="348">
        <v>0</v>
      </c>
      <c r="D694" s="349"/>
      <c r="E694" s="348"/>
      <c r="F694" s="345"/>
      <c r="G694" s="346"/>
      <c r="H694" s="348">
        <v>0</v>
      </c>
      <c r="I694" s="345"/>
      <c r="J694" s="349"/>
      <c r="K694" s="325"/>
      <c r="L694" s="325">
        <f t="shared" si="35"/>
        <v>0</v>
      </c>
      <c r="M694" s="325"/>
      <c r="N694" s="363"/>
      <c r="O694" s="363"/>
      <c r="P694" s="364"/>
    </row>
    <row r="695" ht="16.5" customHeight="1" spans="1:16">
      <c r="A695" s="373" t="s">
        <v>642</v>
      </c>
      <c r="B695" s="348"/>
      <c r="C695" s="348">
        <v>0</v>
      </c>
      <c r="D695" s="349"/>
      <c r="E695" s="348"/>
      <c r="F695" s="345"/>
      <c r="G695" s="346"/>
      <c r="H695" s="348">
        <v>3593</v>
      </c>
      <c r="I695" s="345"/>
      <c r="J695" s="349"/>
      <c r="K695" s="325"/>
      <c r="L695" s="325">
        <f t="shared" si="35"/>
        <v>3593</v>
      </c>
      <c r="M695" s="325"/>
      <c r="N695" s="363"/>
      <c r="O695" s="363"/>
      <c r="P695" s="364"/>
    </row>
    <row r="696" ht="16.5" hidden="1" customHeight="1" spans="1:16">
      <c r="A696" s="373" t="s">
        <v>643</v>
      </c>
      <c r="B696" s="348"/>
      <c r="C696" s="348">
        <v>0</v>
      </c>
      <c r="D696" s="349"/>
      <c r="E696" s="348"/>
      <c r="F696" s="345"/>
      <c r="G696" s="346"/>
      <c r="H696" s="348">
        <v>0</v>
      </c>
      <c r="I696" s="345"/>
      <c r="J696" s="349"/>
      <c r="K696" s="325"/>
      <c r="L696" s="325">
        <f t="shared" si="35"/>
        <v>0</v>
      </c>
      <c r="M696" s="325"/>
      <c r="N696" s="363"/>
      <c r="O696" s="363"/>
      <c r="P696" s="364"/>
    </row>
    <row r="697" s="326" customFormat="1" ht="16.5" customHeight="1" spans="1:16">
      <c r="A697" s="347" t="s">
        <v>644</v>
      </c>
      <c r="B697" s="348">
        <v>4185</v>
      </c>
      <c r="C697" s="348">
        <v>1973</v>
      </c>
      <c r="D697" s="349">
        <f>C697/B697*100</f>
        <v>47.1445639187575</v>
      </c>
      <c r="E697" s="348">
        <f>28+1447</f>
        <v>1475</v>
      </c>
      <c r="F697" s="345">
        <f t="shared" ref="F697:F699" si="36">C697-E697</f>
        <v>498</v>
      </c>
      <c r="G697" s="346">
        <f>F697/E697*100</f>
        <v>33.7627118644068</v>
      </c>
      <c r="H697" s="348">
        <v>3790.94505</v>
      </c>
      <c r="I697" s="345">
        <f t="shared" ref="I697:I699" si="37">H697-B697</f>
        <v>-394.05495</v>
      </c>
      <c r="J697" s="349">
        <f>I697/B697*100</f>
        <v>-9.41588888888889</v>
      </c>
      <c r="K697" s="325"/>
      <c r="L697" s="325">
        <f t="shared" si="35"/>
        <v>10124.3814868943</v>
      </c>
      <c r="M697" s="325"/>
      <c r="N697" s="363"/>
      <c r="O697" s="363"/>
      <c r="P697" s="364"/>
    </row>
    <row r="698" s="325" customFormat="1" ht="16.5" customHeight="1" spans="1:16">
      <c r="A698" s="344" t="s">
        <v>645</v>
      </c>
      <c r="B698" s="345">
        <f>B699+B709+B713+B722+B729+B736+B737+B738+B739+B740+B746+B747+B748+B759</f>
        <v>42594</v>
      </c>
      <c r="C698" s="345">
        <f>C699+C709+C713+C722+C729+C736+C737+C738+C739+C740+C746+C747+C748+C759</f>
        <v>40208</v>
      </c>
      <c r="D698" s="349">
        <f t="shared" ref="D698:D699" si="38">C698/B698*100</f>
        <v>94.3982720570972</v>
      </c>
      <c r="E698" s="345">
        <f>E699+E709+E713+E722+E729+E736+E737+E738+E739+E740+E746+E747+E748+E759</f>
        <v>47776</v>
      </c>
      <c r="F698" s="345">
        <f t="shared" si="36"/>
        <v>-7568</v>
      </c>
      <c r="G698" s="346">
        <f t="shared" ref="G698:G699" si="39">F698/E698*100</f>
        <v>-15.8405894172806</v>
      </c>
      <c r="H698" s="345">
        <f>H699+H709+H713+H722+H729+H736+H737+H738+H739+H740+H746+H747+H748+H759</f>
        <v>45541.230448</v>
      </c>
      <c r="I698" s="345">
        <f t="shared" si="37"/>
        <v>2947.230448</v>
      </c>
      <c r="J698" s="349">
        <f t="shared" ref="J698:J699" si="40">I698/B698*100</f>
        <v>6.91935589050101</v>
      </c>
      <c r="L698" s="325">
        <f t="shared" si="35"/>
        <v>123807.93793453</v>
      </c>
      <c r="N698" s="362"/>
      <c r="O698" s="362"/>
      <c r="P698" s="364"/>
    </row>
    <row r="699" s="326" customFormat="1" ht="16.5" customHeight="1" spans="1:16">
      <c r="A699" s="347" t="s">
        <v>646</v>
      </c>
      <c r="B699" s="348">
        <v>6206</v>
      </c>
      <c r="C699" s="348">
        <v>5807</v>
      </c>
      <c r="D699" s="349">
        <f t="shared" si="38"/>
        <v>93.5707379954882</v>
      </c>
      <c r="E699" s="348">
        <v>6599</v>
      </c>
      <c r="F699" s="345">
        <f t="shared" si="36"/>
        <v>-792</v>
      </c>
      <c r="G699" s="346">
        <f t="shared" si="39"/>
        <v>-12.001818457342</v>
      </c>
      <c r="H699" s="348">
        <f>SUM(H700:H708)</f>
        <v>6272.511004</v>
      </c>
      <c r="I699" s="345">
        <f t="shared" si="37"/>
        <v>66.511004</v>
      </c>
      <c r="J699" s="349">
        <f t="shared" si="40"/>
        <v>1.07172097969707</v>
      </c>
      <c r="K699" s="325"/>
      <c r="L699" s="325">
        <f t="shared" si="35"/>
        <v>17642.6626485178</v>
      </c>
      <c r="M699" s="325"/>
      <c r="N699" s="363"/>
      <c r="O699" s="363"/>
      <c r="P699" s="364"/>
    </row>
    <row r="700" ht="16.5" customHeight="1" spans="1:16">
      <c r="A700" s="347" t="s">
        <v>155</v>
      </c>
      <c r="B700" s="348"/>
      <c r="C700" s="348"/>
      <c r="D700" s="349"/>
      <c r="E700" s="348"/>
      <c r="F700" s="345"/>
      <c r="G700" s="346"/>
      <c r="H700" s="348">
        <v>4042.066348</v>
      </c>
      <c r="I700" s="345"/>
      <c r="J700" s="349"/>
      <c r="K700" s="325"/>
      <c r="L700" s="325">
        <f t="shared" si="35"/>
        <v>4042.066348</v>
      </c>
      <c r="M700" s="325"/>
      <c r="N700" s="363"/>
      <c r="O700" s="363"/>
      <c r="P700" s="364"/>
    </row>
    <row r="701" ht="16.5" customHeight="1" spans="1:16">
      <c r="A701" s="347" t="s">
        <v>156</v>
      </c>
      <c r="B701" s="348"/>
      <c r="C701" s="348"/>
      <c r="D701" s="349"/>
      <c r="E701" s="348"/>
      <c r="F701" s="345"/>
      <c r="G701" s="346"/>
      <c r="H701" s="348">
        <v>418.6412</v>
      </c>
      <c r="I701" s="345"/>
      <c r="J701" s="349"/>
      <c r="K701" s="325"/>
      <c r="L701" s="325">
        <f t="shared" si="35"/>
        <v>418.6412</v>
      </c>
      <c r="M701" s="325"/>
      <c r="N701" s="363"/>
      <c r="O701" s="363"/>
      <c r="P701" s="364"/>
    </row>
    <row r="702" ht="16.5" customHeight="1" spans="1:16">
      <c r="A702" s="347" t="s">
        <v>157</v>
      </c>
      <c r="B702" s="348"/>
      <c r="C702" s="348">
        <v>0</v>
      </c>
      <c r="D702" s="349"/>
      <c r="E702" s="348"/>
      <c r="F702" s="345"/>
      <c r="G702" s="346"/>
      <c r="H702" s="348">
        <v>0.768</v>
      </c>
      <c r="I702" s="345"/>
      <c r="J702" s="349"/>
      <c r="K702" s="325"/>
      <c r="L702" s="325">
        <f t="shared" si="35"/>
        <v>0.768</v>
      </c>
      <c r="M702" s="325"/>
      <c r="N702" s="363"/>
      <c r="O702" s="363"/>
      <c r="P702" s="364"/>
    </row>
    <row r="703" ht="16.5" hidden="1" customHeight="1" spans="1:16">
      <c r="A703" s="347" t="s">
        <v>647</v>
      </c>
      <c r="B703" s="348"/>
      <c r="C703" s="348">
        <v>0</v>
      </c>
      <c r="D703" s="349"/>
      <c r="E703" s="348"/>
      <c r="F703" s="345"/>
      <c r="G703" s="346"/>
      <c r="H703" s="348">
        <v>0</v>
      </c>
      <c r="I703" s="345"/>
      <c r="J703" s="349"/>
      <c r="K703" s="325"/>
      <c r="L703" s="325">
        <f t="shared" si="35"/>
        <v>0</v>
      </c>
      <c r="M703" s="325"/>
      <c r="N703" s="363"/>
      <c r="O703" s="363"/>
      <c r="P703" s="364"/>
    </row>
    <row r="704" ht="16.5" hidden="1" customHeight="1" spans="1:16">
      <c r="A704" s="347" t="s">
        <v>648</v>
      </c>
      <c r="B704" s="348"/>
      <c r="C704" s="348">
        <v>0</v>
      </c>
      <c r="D704" s="349"/>
      <c r="E704" s="348"/>
      <c r="F704" s="345"/>
      <c r="G704" s="346"/>
      <c r="H704" s="348">
        <v>0</v>
      </c>
      <c r="I704" s="345"/>
      <c r="J704" s="349"/>
      <c r="K704" s="325"/>
      <c r="L704" s="325">
        <f t="shared" si="35"/>
        <v>0</v>
      </c>
      <c r="M704" s="325"/>
      <c r="N704" s="363"/>
      <c r="O704" s="363"/>
      <c r="P704" s="364"/>
    </row>
    <row r="705" ht="16.5" hidden="1" customHeight="1" spans="1:16">
      <c r="A705" s="347" t="s">
        <v>649</v>
      </c>
      <c r="B705" s="348"/>
      <c r="C705" s="348">
        <v>0</v>
      </c>
      <c r="D705" s="349"/>
      <c r="E705" s="348"/>
      <c r="F705" s="345"/>
      <c r="G705" s="346"/>
      <c r="H705" s="348">
        <v>0</v>
      </c>
      <c r="I705" s="345"/>
      <c r="J705" s="349"/>
      <c r="K705" s="325"/>
      <c r="L705" s="325">
        <f t="shared" si="35"/>
        <v>0</v>
      </c>
      <c r="M705" s="325"/>
      <c r="N705" s="363"/>
      <c r="O705" s="363"/>
      <c r="P705" s="364"/>
    </row>
    <row r="706" ht="16.5" hidden="1" customHeight="1" spans="1:16">
      <c r="A706" s="347" t="s">
        <v>650</v>
      </c>
      <c r="B706" s="348"/>
      <c r="C706" s="348">
        <v>0</v>
      </c>
      <c r="D706" s="349"/>
      <c r="E706" s="348"/>
      <c r="F706" s="345"/>
      <c r="G706" s="346"/>
      <c r="H706" s="348">
        <v>0</v>
      </c>
      <c r="I706" s="345"/>
      <c r="J706" s="349"/>
      <c r="K706" s="325"/>
      <c r="L706" s="325">
        <f t="shared" si="35"/>
        <v>0</v>
      </c>
      <c r="M706" s="325"/>
      <c r="N706" s="363"/>
      <c r="O706" s="363"/>
      <c r="P706" s="364"/>
    </row>
    <row r="707" ht="16.5" hidden="1" customHeight="1" spans="1:16">
      <c r="A707" s="347" t="s">
        <v>651</v>
      </c>
      <c r="B707" s="348"/>
      <c r="C707" s="348">
        <v>0</v>
      </c>
      <c r="D707" s="349"/>
      <c r="E707" s="348"/>
      <c r="F707" s="345"/>
      <c r="G707" s="346"/>
      <c r="H707" s="348">
        <v>0</v>
      </c>
      <c r="I707" s="345"/>
      <c r="J707" s="349"/>
      <c r="K707" s="325"/>
      <c r="L707" s="325">
        <f t="shared" si="35"/>
        <v>0</v>
      </c>
      <c r="M707" s="325"/>
      <c r="N707" s="363"/>
      <c r="O707" s="363"/>
      <c r="P707" s="364"/>
    </row>
    <row r="708" ht="16.5" customHeight="1" spans="1:16">
      <c r="A708" s="347" t="s">
        <v>652</v>
      </c>
      <c r="B708" s="348"/>
      <c r="C708" s="348"/>
      <c r="D708" s="349"/>
      <c r="E708" s="348"/>
      <c r="F708" s="345"/>
      <c r="G708" s="346"/>
      <c r="H708" s="348">
        <v>1811.035456</v>
      </c>
      <c r="I708" s="345"/>
      <c r="J708" s="349"/>
      <c r="K708" s="325"/>
      <c r="L708" s="325">
        <f t="shared" si="35"/>
        <v>1811.035456</v>
      </c>
      <c r="M708" s="325"/>
      <c r="N708" s="363"/>
      <c r="O708" s="363"/>
      <c r="P708" s="364"/>
    </row>
    <row r="709" s="326" customFormat="1" ht="16.5" customHeight="1" spans="1:16">
      <c r="A709" s="347" t="s">
        <v>653</v>
      </c>
      <c r="B709" s="348">
        <v>3</v>
      </c>
      <c r="C709" s="348">
        <v>13</v>
      </c>
      <c r="D709" s="349">
        <f>C709/B709*100</f>
        <v>433.333333333333</v>
      </c>
      <c r="E709" s="348">
        <v>473</v>
      </c>
      <c r="F709" s="345">
        <f>C709-E709</f>
        <v>-460</v>
      </c>
      <c r="G709" s="346">
        <f>F709/E709*100</f>
        <v>-97.2515856236787</v>
      </c>
      <c r="H709" s="348">
        <f>SUM(H710:H712)</f>
        <v>2.77</v>
      </c>
      <c r="I709" s="345">
        <f>H709-B709</f>
        <v>-0.23</v>
      </c>
      <c r="J709" s="349">
        <f>I709/B709*100</f>
        <v>-7.66666666666667</v>
      </c>
      <c r="K709" s="325"/>
      <c r="L709" s="325">
        <f t="shared" si="35"/>
        <v>-113.044918957012</v>
      </c>
      <c r="M709" s="325"/>
      <c r="N709" s="363"/>
      <c r="O709" s="363"/>
      <c r="P709" s="364"/>
    </row>
    <row r="710" ht="16.5" hidden="1" customHeight="1" spans="1:16">
      <c r="A710" s="347" t="s">
        <v>654</v>
      </c>
      <c r="B710" s="348"/>
      <c r="C710" s="348">
        <v>0</v>
      </c>
      <c r="D710" s="349"/>
      <c r="E710" s="348"/>
      <c r="F710" s="345"/>
      <c r="G710" s="346"/>
      <c r="H710" s="348">
        <v>0</v>
      </c>
      <c r="I710" s="345"/>
      <c r="J710" s="349"/>
      <c r="K710" s="325"/>
      <c r="L710" s="325">
        <f t="shared" si="35"/>
        <v>0</v>
      </c>
      <c r="M710" s="325"/>
      <c r="N710" s="363"/>
      <c r="O710" s="363"/>
      <c r="P710" s="364"/>
    </row>
    <row r="711" ht="16.5" hidden="1" customHeight="1" spans="1:16">
      <c r="A711" s="347" t="s">
        <v>655</v>
      </c>
      <c r="B711" s="348"/>
      <c r="C711" s="348">
        <v>0</v>
      </c>
      <c r="D711" s="349"/>
      <c r="E711" s="348"/>
      <c r="F711" s="345"/>
      <c r="G711" s="346"/>
      <c r="H711" s="348">
        <v>0</v>
      </c>
      <c r="I711" s="345"/>
      <c r="J711" s="349"/>
      <c r="K711" s="325"/>
      <c r="L711" s="325">
        <f t="shared" si="35"/>
        <v>0</v>
      </c>
      <c r="M711" s="325"/>
      <c r="N711" s="363"/>
      <c r="O711" s="363"/>
      <c r="P711" s="364"/>
    </row>
    <row r="712" ht="16.5" customHeight="1" spans="1:16">
      <c r="A712" s="347" t="s">
        <v>656</v>
      </c>
      <c r="B712" s="348"/>
      <c r="C712" s="348">
        <v>0</v>
      </c>
      <c r="D712" s="349"/>
      <c r="E712" s="348"/>
      <c r="F712" s="345"/>
      <c r="G712" s="346"/>
      <c r="H712" s="348">
        <v>2.77</v>
      </c>
      <c r="I712" s="345"/>
      <c r="J712" s="349"/>
      <c r="K712" s="325"/>
      <c r="L712" s="325">
        <f t="shared" ref="L712:L775" si="41">B712+C712+D712+F712+G712+H712+I712+J712</f>
        <v>2.77</v>
      </c>
      <c r="M712" s="325"/>
      <c r="N712" s="363"/>
      <c r="O712" s="363"/>
      <c r="P712" s="364"/>
    </row>
    <row r="713" s="326" customFormat="1" ht="16.5" customHeight="1" spans="1:16">
      <c r="A713" s="347" t="s">
        <v>657</v>
      </c>
      <c r="B713" s="348">
        <v>28147</v>
      </c>
      <c r="C713" s="348">
        <v>29285</v>
      </c>
      <c r="D713" s="349">
        <f>C713/B713*100</f>
        <v>104.043059651117</v>
      </c>
      <c r="E713" s="348">
        <v>30069</v>
      </c>
      <c r="F713" s="345">
        <f>C713-E713</f>
        <v>-784</v>
      </c>
      <c r="G713" s="346">
        <f>F713/E713*100</f>
        <v>-2.60733645947654</v>
      </c>
      <c r="H713" s="348">
        <f>SUM(H714:H721)</f>
        <v>28291.226923</v>
      </c>
      <c r="I713" s="345">
        <f>H713-B713</f>
        <v>144.226922999998</v>
      </c>
      <c r="J713" s="349">
        <f>I713/B713*100</f>
        <v>0.512406021956153</v>
      </c>
      <c r="K713" s="325"/>
      <c r="L713" s="325">
        <f t="shared" si="41"/>
        <v>85185.4019752136</v>
      </c>
      <c r="M713" s="325"/>
      <c r="N713" s="363"/>
      <c r="O713" s="363"/>
      <c r="P713" s="364"/>
    </row>
    <row r="714" ht="16.5" customHeight="1" spans="1:16">
      <c r="A714" s="347" t="s">
        <v>658</v>
      </c>
      <c r="B714" s="348"/>
      <c r="C714" s="348">
        <v>0</v>
      </c>
      <c r="D714" s="349"/>
      <c r="E714" s="348"/>
      <c r="F714" s="345"/>
      <c r="G714" s="346"/>
      <c r="H714" s="348">
        <v>3615</v>
      </c>
      <c r="I714" s="345"/>
      <c r="J714" s="349"/>
      <c r="K714" s="325"/>
      <c r="L714" s="325">
        <f t="shared" si="41"/>
        <v>3615</v>
      </c>
      <c r="M714" s="325"/>
      <c r="N714" s="363"/>
      <c r="O714" s="363"/>
      <c r="P714" s="364"/>
    </row>
    <row r="715" ht="16.5" customHeight="1" spans="1:16">
      <c r="A715" s="347" t="s">
        <v>659</v>
      </c>
      <c r="B715" s="348"/>
      <c r="C715" s="348"/>
      <c r="D715" s="349"/>
      <c r="E715" s="348"/>
      <c r="F715" s="345"/>
      <c r="G715" s="346"/>
      <c r="H715" s="348">
        <v>12327.003195</v>
      </c>
      <c r="I715" s="345"/>
      <c r="J715" s="349"/>
      <c r="K715" s="325"/>
      <c r="L715" s="325">
        <f t="shared" si="41"/>
        <v>12327.003195</v>
      </c>
      <c r="M715" s="325"/>
      <c r="N715" s="363"/>
      <c r="O715" s="363"/>
      <c r="P715" s="364"/>
    </row>
    <row r="716" ht="16.5" hidden="1" customHeight="1" spans="1:16">
      <c r="A716" s="347" t="s">
        <v>660</v>
      </c>
      <c r="B716" s="348"/>
      <c r="C716" s="348"/>
      <c r="D716" s="349"/>
      <c r="E716" s="348"/>
      <c r="F716" s="345"/>
      <c r="G716" s="346"/>
      <c r="H716" s="348">
        <v>0</v>
      </c>
      <c r="I716" s="345"/>
      <c r="J716" s="349"/>
      <c r="K716" s="325"/>
      <c r="L716" s="325">
        <f t="shared" si="41"/>
        <v>0</v>
      </c>
      <c r="M716" s="325"/>
      <c r="N716" s="363"/>
      <c r="O716" s="363"/>
      <c r="P716" s="364"/>
    </row>
    <row r="717" ht="16.5" customHeight="1" spans="1:16">
      <c r="A717" s="347" t="s">
        <v>661</v>
      </c>
      <c r="B717" s="348"/>
      <c r="C717" s="348"/>
      <c r="D717" s="349"/>
      <c r="E717" s="348"/>
      <c r="F717" s="345"/>
      <c r="G717" s="346"/>
      <c r="H717" s="348">
        <v>549.223728</v>
      </c>
      <c r="I717" s="345"/>
      <c r="J717" s="349"/>
      <c r="K717" s="325"/>
      <c r="L717" s="325">
        <f t="shared" si="41"/>
        <v>549.223728</v>
      </c>
      <c r="M717" s="325"/>
      <c r="N717" s="363"/>
      <c r="O717" s="363"/>
      <c r="P717" s="364"/>
    </row>
    <row r="718" ht="16.5" hidden="1" customHeight="1" spans="1:16">
      <c r="A718" s="347" t="s">
        <v>662</v>
      </c>
      <c r="B718" s="348"/>
      <c r="C718" s="348">
        <v>0</v>
      </c>
      <c r="D718" s="349"/>
      <c r="E718" s="348"/>
      <c r="F718" s="345"/>
      <c r="G718" s="346"/>
      <c r="H718" s="348">
        <v>0</v>
      </c>
      <c r="I718" s="345"/>
      <c r="J718" s="349"/>
      <c r="K718" s="325"/>
      <c r="L718" s="325">
        <f t="shared" si="41"/>
        <v>0</v>
      </c>
      <c r="M718" s="325"/>
      <c r="N718" s="363"/>
      <c r="O718" s="363"/>
      <c r="P718" s="364"/>
    </row>
    <row r="719" ht="16.5" hidden="1" customHeight="1" spans="1:16">
      <c r="A719" s="347" t="s">
        <v>663</v>
      </c>
      <c r="B719" s="348"/>
      <c r="C719" s="348">
        <v>0</v>
      </c>
      <c r="D719" s="349"/>
      <c r="E719" s="348"/>
      <c r="F719" s="345"/>
      <c r="G719" s="346"/>
      <c r="H719" s="348">
        <v>0</v>
      </c>
      <c r="I719" s="345"/>
      <c r="J719" s="349"/>
      <c r="K719" s="325"/>
      <c r="L719" s="325">
        <f t="shared" si="41"/>
        <v>0</v>
      </c>
      <c r="M719" s="325"/>
      <c r="N719" s="363"/>
      <c r="O719" s="363"/>
      <c r="P719" s="364"/>
    </row>
    <row r="720" ht="16.5" hidden="1" customHeight="1" spans="1:16">
      <c r="A720" s="347" t="s">
        <v>664</v>
      </c>
      <c r="B720" s="348"/>
      <c r="C720" s="348">
        <v>0</v>
      </c>
      <c r="D720" s="349"/>
      <c r="E720" s="348"/>
      <c r="F720" s="345"/>
      <c r="G720" s="346"/>
      <c r="H720" s="348">
        <v>0</v>
      </c>
      <c r="I720" s="345"/>
      <c r="J720" s="349"/>
      <c r="K720" s="325"/>
      <c r="L720" s="325">
        <f t="shared" si="41"/>
        <v>0</v>
      </c>
      <c r="M720" s="325"/>
      <c r="N720" s="363"/>
      <c r="O720" s="363"/>
      <c r="P720" s="364"/>
    </row>
    <row r="721" ht="16.5" customHeight="1" spans="1:16">
      <c r="A721" s="347" t="s">
        <v>665</v>
      </c>
      <c r="B721" s="348"/>
      <c r="C721" s="348"/>
      <c r="D721" s="349"/>
      <c r="E721" s="348"/>
      <c r="F721" s="345"/>
      <c r="G721" s="346"/>
      <c r="H721" s="348">
        <f>2800+9000</f>
        <v>11800</v>
      </c>
      <c r="I721" s="345"/>
      <c r="J721" s="349"/>
      <c r="K721" s="325"/>
      <c r="L721" s="325">
        <f t="shared" si="41"/>
        <v>11800</v>
      </c>
      <c r="M721" s="325"/>
      <c r="N721" s="363"/>
      <c r="O721" s="363"/>
      <c r="P721" s="364"/>
    </row>
    <row r="722" s="326" customFormat="1" ht="16.5" customHeight="1" spans="1:16">
      <c r="A722" s="347" t="s">
        <v>666</v>
      </c>
      <c r="B722" s="348">
        <v>663</v>
      </c>
      <c r="C722" s="348">
        <v>1741</v>
      </c>
      <c r="D722" s="349">
        <f>C722/B722*100</f>
        <v>262.594268476621</v>
      </c>
      <c r="E722" s="348">
        <v>2715</v>
      </c>
      <c r="F722" s="345">
        <f>C722-E722</f>
        <v>-974</v>
      </c>
      <c r="G722" s="346">
        <f>F722/E722*100</f>
        <v>-35.8747697974217</v>
      </c>
      <c r="H722" s="348">
        <f>SUM(H723:H728)</f>
        <v>835</v>
      </c>
      <c r="I722" s="345">
        <f>H722-B722</f>
        <v>172</v>
      </c>
      <c r="J722" s="349">
        <f>I722/B722*100</f>
        <v>25.9426847662142</v>
      </c>
      <c r="K722" s="325"/>
      <c r="L722" s="325">
        <f t="shared" si="41"/>
        <v>2689.66218344541</v>
      </c>
      <c r="M722" s="325"/>
      <c r="N722" s="363"/>
      <c r="O722" s="363"/>
      <c r="P722" s="364"/>
    </row>
    <row r="723" ht="16.5" customHeight="1" spans="1:16">
      <c r="A723" s="347" t="s">
        <v>667</v>
      </c>
      <c r="B723" s="348"/>
      <c r="C723" s="348"/>
      <c r="D723" s="349"/>
      <c r="E723" s="348"/>
      <c r="F723" s="345"/>
      <c r="G723" s="346"/>
      <c r="H723" s="348">
        <v>80</v>
      </c>
      <c r="I723" s="345"/>
      <c r="J723" s="349"/>
      <c r="K723" s="325"/>
      <c r="L723" s="325">
        <f t="shared" si="41"/>
        <v>80</v>
      </c>
      <c r="M723" s="325"/>
      <c r="N723" s="363"/>
      <c r="O723" s="363"/>
      <c r="P723" s="364"/>
    </row>
    <row r="724" ht="16.5" customHeight="1" spans="1:16">
      <c r="A724" s="347" t="s">
        <v>668</v>
      </c>
      <c r="B724" s="348"/>
      <c r="C724" s="348"/>
      <c r="D724" s="349"/>
      <c r="E724" s="348"/>
      <c r="F724" s="345"/>
      <c r="G724" s="346"/>
      <c r="H724" s="348">
        <v>735</v>
      </c>
      <c r="I724" s="345"/>
      <c r="J724" s="349"/>
      <c r="K724" s="325"/>
      <c r="L724" s="325">
        <f t="shared" si="41"/>
        <v>735</v>
      </c>
      <c r="M724" s="325"/>
      <c r="N724" s="363"/>
      <c r="O724" s="363"/>
      <c r="P724" s="364"/>
    </row>
    <row r="725" ht="16.5" hidden="1" customHeight="1" spans="1:16">
      <c r="A725" s="347" t="s">
        <v>669</v>
      </c>
      <c r="B725" s="348"/>
      <c r="C725" s="348">
        <v>0</v>
      </c>
      <c r="D725" s="349"/>
      <c r="E725" s="348"/>
      <c r="F725" s="345"/>
      <c r="G725" s="346"/>
      <c r="H725" s="348">
        <v>0</v>
      </c>
      <c r="I725" s="345"/>
      <c r="J725" s="349"/>
      <c r="K725" s="325"/>
      <c r="L725" s="325">
        <f t="shared" si="41"/>
        <v>0</v>
      </c>
      <c r="M725" s="325"/>
      <c r="N725" s="363"/>
      <c r="O725" s="363"/>
      <c r="P725" s="364"/>
    </row>
    <row r="726" ht="16.5" hidden="1" customHeight="1" spans="1:16">
      <c r="A726" s="347" t="s">
        <v>670</v>
      </c>
      <c r="B726" s="348"/>
      <c r="C726" s="348">
        <v>0</v>
      </c>
      <c r="D726" s="349"/>
      <c r="E726" s="348"/>
      <c r="F726" s="345"/>
      <c r="G726" s="346"/>
      <c r="H726" s="348">
        <v>0</v>
      </c>
      <c r="I726" s="345"/>
      <c r="J726" s="349"/>
      <c r="K726" s="325"/>
      <c r="L726" s="325">
        <f t="shared" si="41"/>
        <v>0</v>
      </c>
      <c r="M726" s="325"/>
      <c r="N726" s="363"/>
      <c r="O726" s="363"/>
      <c r="P726" s="364"/>
    </row>
    <row r="727" ht="16.5" hidden="1" customHeight="1" spans="1:16">
      <c r="A727" s="347" t="s">
        <v>671</v>
      </c>
      <c r="B727" s="348"/>
      <c r="C727" s="348">
        <v>0</v>
      </c>
      <c r="D727" s="349"/>
      <c r="E727" s="348"/>
      <c r="F727" s="345"/>
      <c r="G727" s="346"/>
      <c r="H727" s="348">
        <v>0</v>
      </c>
      <c r="I727" s="345"/>
      <c r="J727" s="349"/>
      <c r="K727" s="325"/>
      <c r="L727" s="325">
        <f t="shared" si="41"/>
        <v>0</v>
      </c>
      <c r="M727" s="325"/>
      <c r="N727" s="363"/>
      <c r="O727" s="363"/>
      <c r="P727" s="364"/>
    </row>
    <row r="728" ht="16.5" customHeight="1" spans="1:16">
      <c r="A728" s="347" t="s">
        <v>672</v>
      </c>
      <c r="B728" s="348"/>
      <c r="C728" s="348">
        <v>0</v>
      </c>
      <c r="D728" s="349"/>
      <c r="E728" s="348"/>
      <c r="F728" s="345"/>
      <c r="G728" s="346"/>
      <c r="H728" s="348">
        <v>20</v>
      </c>
      <c r="I728" s="345"/>
      <c r="J728" s="349"/>
      <c r="K728" s="325"/>
      <c r="L728" s="325">
        <f t="shared" si="41"/>
        <v>20</v>
      </c>
      <c r="M728" s="325"/>
      <c r="N728" s="363"/>
      <c r="O728" s="363"/>
      <c r="P728" s="364"/>
    </row>
    <row r="729" s="326" customFormat="1" ht="16.5" customHeight="1" spans="1:16">
      <c r="A729" s="347" t="s">
        <v>673</v>
      </c>
      <c r="B729" s="348">
        <v>818</v>
      </c>
      <c r="C729" s="348">
        <v>856</v>
      </c>
      <c r="D729" s="349">
        <f>C729/B729*100</f>
        <v>104.645476772616</v>
      </c>
      <c r="E729" s="348">
        <v>69</v>
      </c>
      <c r="F729" s="345">
        <f>C729-E729</f>
        <v>787</v>
      </c>
      <c r="G729" s="346">
        <f>F729/E729*100</f>
        <v>1140.57971014493</v>
      </c>
      <c r="H729" s="348">
        <f>SUM(H730:H735)</f>
        <v>985.045853</v>
      </c>
      <c r="I729" s="345">
        <f>H729-B729</f>
        <v>167.045853</v>
      </c>
      <c r="J729" s="349">
        <f>I729/B729*100</f>
        <v>20.4212534229829</v>
      </c>
      <c r="K729" s="325"/>
      <c r="L729" s="325">
        <f t="shared" si="41"/>
        <v>4878.73814634053</v>
      </c>
      <c r="M729" s="325"/>
      <c r="N729" s="363"/>
      <c r="O729" s="363"/>
      <c r="P729" s="364"/>
    </row>
    <row r="730" ht="16.5" customHeight="1" spans="1:16">
      <c r="A730" s="347" t="s">
        <v>674</v>
      </c>
      <c r="B730" s="348"/>
      <c r="C730" s="348"/>
      <c r="D730" s="349"/>
      <c r="E730" s="348"/>
      <c r="F730" s="345"/>
      <c r="G730" s="346"/>
      <c r="H730" s="348">
        <v>985.045853</v>
      </c>
      <c r="I730" s="345"/>
      <c r="J730" s="349"/>
      <c r="K730" s="325"/>
      <c r="L730" s="325">
        <f t="shared" si="41"/>
        <v>985.045853</v>
      </c>
      <c r="M730" s="325"/>
      <c r="N730" s="363"/>
      <c r="O730" s="363"/>
      <c r="P730" s="364"/>
    </row>
    <row r="731" ht="16.5" hidden="1" customHeight="1" spans="1:16">
      <c r="A731" s="347" t="s">
        <v>675</v>
      </c>
      <c r="B731" s="348"/>
      <c r="C731" s="348">
        <v>0</v>
      </c>
      <c r="D731" s="349"/>
      <c r="E731" s="348"/>
      <c r="F731" s="345"/>
      <c r="G731" s="346"/>
      <c r="H731" s="348">
        <v>0</v>
      </c>
      <c r="I731" s="345"/>
      <c r="J731" s="349"/>
      <c r="K731" s="325"/>
      <c r="L731" s="325">
        <f t="shared" si="41"/>
        <v>0</v>
      </c>
      <c r="M731" s="325"/>
      <c r="N731" s="363"/>
      <c r="O731" s="363"/>
      <c r="P731" s="364"/>
    </row>
    <row r="732" ht="16.5" hidden="1" customHeight="1" spans="1:16">
      <c r="A732" s="347" t="s">
        <v>676</v>
      </c>
      <c r="B732" s="348"/>
      <c r="C732" s="348">
        <v>0</v>
      </c>
      <c r="D732" s="349"/>
      <c r="E732" s="348"/>
      <c r="F732" s="345"/>
      <c r="G732" s="346"/>
      <c r="H732" s="348">
        <v>0</v>
      </c>
      <c r="I732" s="345"/>
      <c r="J732" s="349"/>
      <c r="K732" s="325"/>
      <c r="L732" s="325">
        <f t="shared" si="41"/>
        <v>0</v>
      </c>
      <c r="M732" s="325"/>
      <c r="N732" s="363"/>
      <c r="O732" s="363"/>
      <c r="P732" s="364"/>
    </row>
    <row r="733" ht="16.5" hidden="1" customHeight="1" spans="1:16">
      <c r="A733" s="347" t="s">
        <v>677</v>
      </c>
      <c r="B733" s="348"/>
      <c r="C733" s="348">
        <v>0</v>
      </c>
      <c r="D733" s="349"/>
      <c r="E733" s="348"/>
      <c r="F733" s="345"/>
      <c r="G733" s="346"/>
      <c r="H733" s="348">
        <v>0</v>
      </c>
      <c r="I733" s="345"/>
      <c r="J733" s="349"/>
      <c r="K733" s="325"/>
      <c r="L733" s="325">
        <f t="shared" si="41"/>
        <v>0</v>
      </c>
      <c r="M733" s="325"/>
      <c r="N733" s="363"/>
      <c r="O733" s="363"/>
      <c r="P733" s="364"/>
    </row>
    <row r="734" ht="16.5" hidden="1" customHeight="1" spans="1:16">
      <c r="A734" s="347" t="s">
        <v>678</v>
      </c>
      <c r="B734" s="348"/>
      <c r="C734" s="348">
        <v>0</v>
      </c>
      <c r="D734" s="349"/>
      <c r="E734" s="348"/>
      <c r="F734" s="345"/>
      <c r="G734" s="346"/>
      <c r="H734" s="348">
        <v>0</v>
      </c>
      <c r="I734" s="345"/>
      <c r="J734" s="349"/>
      <c r="K734" s="325"/>
      <c r="L734" s="325">
        <f t="shared" si="41"/>
        <v>0</v>
      </c>
      <c r="M734" s="325"/>
      <c r="N734" s="363"/>
      <c r="O734" s="363"/>
      <c r="P734" s="364"/>
    </row>
    <row r="735" ht="16.5" hidden="1" customHeight="1" spans="1:16">
      <c r="A735" s="347" t="s">
        <v>679</v>
      </c>
      <c r="B735" s="348"/>
      <c r="C735" s="348">
        <v>0</v>
      </c>
      <c r="D735" s="349"/>
      <c r="E735" s="348"/>
      <c r="F735" s="345"/>
      <c r="G735" s="346"/>
      <c r="H735" s="348">
        <v>0</v>
      </c>
      <c r="I735" s="345"/>
      <c r="J735" s="349"/>
      <c r="K735" s="325"/>
      <c r="L735" s="325">
        <f t="shared" si="41"/>
        <v>0</v>
      </c>
      <c r="M735" s="325"/>
      <c r="N735" s="363"/>
      <c r="O735" s="363"/>
      <c r="P735" s="364"/>
    </row>
    <row r="736" s="326" customFormat="1" ht="16.5" hidden="1" customHeight="1" spans="1:16">
      <c r="A736" s="347" t="s">
        <v>680</v>
      </c>
      <c r="B736" s="348"/>
      <c r="C736" s="348">
        <v>0</v>
      </c>
      <c r="D736" s="349"/>
      <c r="E736" s="348"/>
      <c r="F736" s="345">
        <f t="shared" ref="F736:F740" si="42">C736-E736</f>
        <v>0</v>
      </c>
      <c r="G736" s="346"/>
      <c r="H736" s="348">
        <v>0</v>
      </c>
      <c r="I736" s="345">
        <f t="shared" ref="I736:I740" si="43">H736-B736</f>
        <v>0</v>
      </c>
      <c r="J736" s="349"/>
      <c r="K736" s="325"/>
      <c r="L736" s="325">
        <f t="shared" si="41"/>
        <v>0</v>
      </c>
      <c r="M736" s="325"/>
      <c r="N736" s="363"/>
      <c r="O736" s="363"/>
      <c r="P736" s="364"/>
    </row>
    <row r="737" s="326" customFormat="1" ht="16.5" hidden="1" customHeight="1" spans="1:16">
      <c r="A737" s="347" t="s">
        <v>681</v>
      </c>
      <c r="B737" s="348"/>
      <c r="C737" s="348">
        <v>0</v>
      </c>
      <c r="D737" s="349"/>
      <c r="E737" s="348"/>
      <c r="F737" s="345">
        <f t="shared" si="42"/>
        <v>0</v>
      </c>
      <c r="G737" s="346"/>
      <c r="H737" s="348">
        <v>0</v>
      </c>
      <c r="I737" s="345">
        <f t="shared" si="43"/>
        <v>0</v>
      </c>
      <c r="J737" s="349"/>
      <c r="K737" s="325"/>
      <c r="L737" s="325">
        <f t="shared" si="41"/>
        <v>0</v>
      </c>
      <c r="M737" s="325"/>
      <c r="N737" s="363"/>
      <c r="O737" s="363"/>
      <c r="P737" s="364"/>
    </row>
    <row r="738" s="326" customFormat="1" ht="16.5" hidden="1" customHeight="1" spans="1:16">
      <c r="A738" s="347" t="s">
        <v>682</v>
      </c>
      <c r="B738" s="348"/>
      <c r="C738" s="348">
        <v>0</v>
      </c>
      <c r="D738" s="349"/>
      <c r="E738" s="348"/>
      <c r="F738" s="345">
        <f t="shared" si="42"/>
        <v>0</v>
      </c>
      <c r="G738" s="346"/>
      <c r="H738" s="348">
        <v>0</v>
      </c>
      <c r="I738" s="345">
        <f t="shared" si="43"/>
        <v>0</v>
      </c>
      <c r="J738" s="349"/>
      <c r="K738" s="325"/>
      <c r="L738" s="325">
        <f t="shared" si="41"/>
        <v>0</v>
      </c>
      <c r="M738" s="325"/>
      <c r="N738" s="363"/>
      <c r="O738" s="363"/>
      <c r="P738" s="364"/>
    </row>
    <row r="739" s="326" customFormat="1" ht="16.5" customHeight="1" spans="1:16">
      <c r="A739" s="347" t="s">
        <v>683</v>
      </c>
      <c r="B739" s="348">
        <v>1782</v>
      </c>
      <c r="C739" s="348">
        <v>850</v>
      </c>
      <c r="D739" s="349">
        <f>C739/B739*100</f>
        <v>47.699214365881</v>
      </c>
      <c r="E739" s="348">
        <v>350</v>
      </c>
      <c r="F739" s="345">
        <f t="shared" si="42"/>
        <v>500</v>
      </c>
      <c r="G739" s="346">
        <f>F739/E739*100</f>
        <v>142.857142857143</v>
      </c>
      <c r="H739" s="348">
        <v>1691.247088</v>
      </c>
      <c r="I739" s="345">
        <f t="shared" si="43"/>
        <v>-90.7529119999999</v>
      </c>
      <c r="J739" s="349">
        <f>I739/B739*100</f>
        <v>-5.09275600448933</v>
      </c>
      <c r="K739" s="325"/>
      <c r="L739" s="325">
        <f t="shared" si="41"/>
        <v>4917.95777721853</v>
      </c>
      <c r="M739" s="325"/>
      <c r="N739" s="363"/>
      <c r="O739" s="363"/>
      <c r="P739" s="364"/>
    </row>
    <row r="740" s="326" customFormat="1" ht="16.5" customHeight="1" spans="1:16">
      <c r="A740" s="347" t="s">
        <v>684</v>
      </c>
      <c r="B740" s="348">
        <v>1790</v>
      </c>
      <c r="C740" s="348">
        <v>1361</v>
      </c>
      <c r="D740" s="349">
        <f>C740/B740*100</f>
        <v>76.0335195530726</v>
      </c>
      <c r="E740" s="348">
        <v>1030</v>
      </c>
      <c r="F740" s="345">
        <f t="shared" si="42"/>
        <v>331</v>
      </c>
      <c r="G740" s="346">
        <f>F740/E740*100</f>
        <v>32.1359223300971</v>
      </c>
      <c r="H740" s="348">
        <f>SUM(H741:H745)</f>
        <v>1783.42958</v>
      </c>
      <c r="I740" s="345">
        <f t="shared" si="43"/>
        <v>-6.57042000000001</v>
      </c>
      <c r="J740" s="349">
        <f>I740/B740*100</f>
        <v>-0.367062569832403</v>
      </c>
      <c r="K740" s="325"/>
      <c r="L740" s="325">
        <f t="shared" si="41"/>
        <v>5366.66153931334</v>
      </c>
      <c r="M740" s="325"/>
      <c r="N740" s="363"/>
      <c r="O740" s="363"/>
      <c r="P740" s="364"/>
    </row>
    <row r="741" ht="16.5" customHeight="1" spans="1:16">
      <c r="A741" s="347" t="s">
        <v>685</v>
      </c>
      <c r="B741" s="348"/>
      <c r="C741" s="348">
        <v>0</v>
      </c>
      <c r="D741" s="349"/>
      <c r="E741" s="348"/>
      <c r="F741" s="345"/>
      <c r="G741" s="346"/>
      <c r="H741" s="348">
        <f>921-300</f>
        <v>621</v>
      </c>
      <c r="I741" s="345"/>
      <c r="J741" s="349"/>
      <c r="K741" s="325"/>
      <c r="L741" s="325">
        <f t="shared" si="41"/>
        <v>621</v>
      </c>
      <c r="M741" s="325"/>
      <c r="N741" s="363"/>
      <c r="O741" s="363"/>
      <c r="P741" s="364"/>
    </row>
    <row r="742" ht="16.5" customHeight="1" spans="1:16">
      <c r="A742" s="347" t="s">
        <v>686</v>
      </c>
      <c r="B742" s="348"/>
      <c r="C742" s="348">
        <v>0</v>
      </c>
      <c r="D742" s="349"/>
      <c r="E742" s="348"/>
      <c r="F742" s="345"/>
      <c r="G742" s="346"/>
      <c r="H742" s="348">
        <f>862.42958+300</f>
        <v>1162.42958</v>
      </c>
      <c r="I742" s="345"/>
      <c r="J742" s="349"/>
      <c r="K742" s="325"/>
      <c r="L742" s="325">
        <f t="shared" si="41"/>
        <v>1162.42958</v>
      </c>
      <c r="M742" s="325"/>
      <c r="N742" s="363"/>
      <c r="O742" s="363"/>
      <c r="P742" s="364"/>
    </row>
    <row r="743" ht="16.5" hidden="1" customHeight="1" spans="1:16">
      <c r="A743" s="347" t="s">
        <v>687</v>
      </c>
      <c r="B743" s="348"/>
      <c r="C743" s="348"/>
      <c r="D743" s="349"/>
      <c r="E743" s="348"/>
      <c r="F743" s="345"/>
      <c r="G743" s="346"/>
      <c r="H743" s="348">
        <v>0</v>
      </c>
      <c r="I743" s="345"/>
      <c r="J743" s="349"/>
      <c r="K743" s="325"/>
      <c r="L743" s="325">
        <f t="shared" si="41"/>
        <v>0</v>
      </c>
      <c r="M743" s="325"/>
      <c r="N743" s="363"/>
      <c r="O743" s="363"/>
      <c r="P743" s="364"/>
    </row>
    <row r="744" ht="16.5" hidden="1" customHeight="1" spans="1:16">
      <c r="A744" s="347" t="s">
        <v>688</v>
      </c>
      <c r="B744" s="348"/>
      <c r="C744" s="348">
        <v>0</v>
      </c>
      <c r="D744" s="349"/>
      <c r="E744" s="348"/>
      <c r="F744" s="345"/>
      <c r="G744" s="346"/>
      <c r="H744" s="348">
        <v>0</v>
      </c>
      <c r="I744" s="345"/>
      <c r="J744" s="349"/>
      <c r="K744" s="325"/>
      <c r="L744" s="325">
        <f t="shared" si="41"/>
        <v>0</v>
      </c>
      <c r="M744" s="325"/>
      <c r="N744" s="363"/>
      <c r="O744" s="363"/>
      <c r="P744" s="364"/>
    </row>
    <row r="745" ht="16.5" hidden="1" customHeight="1" spans="1:16">
      <c r="A745" s="347" t="s">
        <v>689</v>
      </c>
      <c r="B745" s="348"/>
      <c r="C745" s="348">
        <v>0</v>
      </c>
      <c r="D745" s="349"/>
      <c r="E745" s="348"/>
      <c r="F745" s="345"/>
      <c r="G745" s="346"/>
      <c r="H745" s="348">
        <v>0</v>
      </c>
      <c r="I745" s="345"/>
      <c r="J745" s="349"/>
      <c r="K745" s="325"/>
      <c r="L745" s="325">
        <f t="shared" si="41"/>
        <v>0</v>
      </c>
      <c r="M745" s="325"/>
      <c r="N745" s="363"/>
      <c r="O745" s="363"/>
      <c r="P745" s="364"/>
    </row>
    <row r="746" s="326" customFormat="1" ht="16.5" customHeight="1" spans="1:16">
      <c r="A746" s="347" t="s">
        <v>690</v>
      </c>
      <c r="B746" s="348"/>
      <c r="C746" s="348">
        <v>182</v>
      </c>
      <c r="D746" s="349"/>
      <c r="E746" s="348"/>
      <c r="F746" s="345">
        <f t="shared" ref="F746:F748" si="44">C746-E746</f>
        <v>182</v>
      </c>
      <c r="G746" s="346"/>
      <c r="H746" s="348">
        <v>0</v>
      </c>
      <c r="I746" s="345">
        <f t="shared" ref="I746:I748" si="45">H746-B746</f>
        <v>0</v>
      </c>
      <c r="J746" s="349"/>
      <c r="K746" s="325"/>
      <c r="L746" s="325">
        <f t="shared" si="41"/>
        <v>364</v>
      </c>
      <c r="M746" s="325"/>
      <c r="N746" s="363"/>
      <c r="O746" s="363"/>
      <c r="P746" s="364"/>
    </row>
    <row r="747" s="326" customFormat="1" ht="16.5" customHeight="1" spans="1:16">
      <c r="A747" s="347" t="s">
        <v>691</v>
      </c>
      <c r="B747" s="348"/>
      <c r="C747" s="348">
        <v>0</v>
      </c>
      <c r="D747" s="349"/>
      <c r="E747" s="348">
        <v>3612</v>
      </c>
      <c r="F747" s="345">
        <f t="shared" si="44"/>
        <v>-3612</v>
      </c>
      <c r="G747" s="346">
        <f>F747/E747*100</f>
        <v>-100</v>
      </c>
      <c r="H747" s="348">
        <v>0</v>
      </c>
      <c r="I747" s="345">
        <f t="shared" si="45"/>
        <v>0</v>
      </c>
      <c r="J747" s="349"/>
      <c r="K747" s="325"/>
      <c r="L747" s="325">
        <f t="shared" si="41"/>
        <v>-3712</v>
      </c>
      <c r="M747" s="325"/>
      <c r="N747" s="363"/>
      <c r="O747" s="363"/>
      <c r="P747" s="364"/>
    </row>
    <row r="748" s="326" customFormat="1" ht="16.5" customHeight="1" spans="1:16">
      <c r="A748" s="347" t="s">
        <v>692</v>
      </c>
      <c r="B748" s="348">
        <v>5</v>
      </c>
      <c r="C748" s="348">
        <v>4</v>
      </c>
      <c r="D748" s="349"/>
      <c r="E748" s="348">
        <v>1</v>
      </c>
      <c r="F748" s="345">
        <f t="shared" si="44"/>
        <v>3</v>
      </c>
      <c r="G748" s="346">
        <f>F748/E748*100</f>
        <v>300</v>
      </c>
      <c r="H748" s="348">
        <f>SUM(H749:H758)</f>
        <v>0</v>
      </c>
      <c r="I748" s="345">
        <f t="shared" si="45"/>
        <v>-5</v>
      </c>
      <c r="J748" s="349"/>
      <c r="K748" s="325"/>
      <c r="L748" s="325">
        <f t="shared" si="41"/>
        <v>307</v>
      </c>
      <c r="M748" s="325"/>
      <c r="N748" s="363"/>
      <c r="O748" s="363"/>
      <c r="P748" s="364"/>
    </row>
    <row r="749" ht="16.5" hidden="1" customHeight="1" spans="1:16">
      <c r="A749" s="347" t="s">
        <v>155</v>
      </c>
      <c r="B749" s="348"/>
      <c r="C749" s="348">
        <v>0</v>
      </c>
      <c r="D749" s="349"/>
      <c r="E749" s="348"/>
      <c r="F749" s="345"/>
      <c r="G749" s="346"/>
      <c r="H749" s="348"/>
      <c r="I749" s="345"/>
      <c r="J749" s="349"/>
      <c r="K749" s="325"/>
      <c r="L749" s="325">
        <f t="shared" si="41"/>
        <v>0</v>
      </c>
      <c r="M749" s="325"/>
      <c r="N749" s="363"/>
      <c r="O749" s="363"/>
      <c r="P749" s="364"/>
    </row>
    <row r="750" ht="16.5" hidden="1" customHeight="1" spans="1:16">
      <c r="A750" s="347" t="s">
        <v>156</v>
      </c>
      <c r="B750" s="348"/>
      <c r="C750" s="348">
        <v>0</v>
      </c>
      <c r="D750" s="349"/>
      <c r="E750" s="348"/>
      <c r="F750" s="345"/>
      <c r="G750" s="346"/>
      <c r="H750" s="348"/>
      <c r="I750" s="345"/>
      <c r="J750" s="349"/>
      <c r="K750" s="325"/>
      <c r="L750" s="325">
        <f t="shared" si="41"/>
        <v>0</v>
      </c>
      <c r="M750" s="325"/>
      <c r="N750" s="363"/>
      <c r="O750" s="363"/>
      <c r="P750" s="364"/>
    </row>
    <row r="751" ht="16.5" hidden="1" customHeight="1" spans="1:16">
      <c r="A751" s="347" t="s">
        <v>157</v>
      </c>
      <c r="B751" s="348"/>
      <c r="C751" s="348">
        <v>0</v>
      </c>
      <c r="D751" s="349"/>
      <c r="E751" s="348"/>
      <c r="F751" s="345"/>
      <c r="G751" s="346"/>
      <c r="H751" s="348"/>
      <c r="I751" s="345"/>
      <c r="J751" s="349"/>
      <c r="K751" s="325"/>
      <c r="L751" s="325">
        <f t="shared" si="41"/>
        <v>0</v>
      </c>
      <c r="M751" s="325"/>
      <c r="N751" s="363"/>
      <c r="O751" s="363"/>
      <c r="P751" s="364"/>
    </row>
    <row r="752" ht="16.5" hidden="1" customHeight="1" spans="1:16">
      <c r="A752" s="347" t="s">
        <v>693</v>
      </c>
      <c r="B752" s="348"/>
      <c r="C752" s="348">
        <v>0</v>
      </c>
      <c r="D752" s="349"/>
      <c r="E752" s="348"/>
      <c r="F752" s="345"/>
      <c r="G752" s="346"/>
      <c r="H752" s="348"/>
      <c r="I752" s="345"/>
      <c r="J752" s="349"/>
      <c r="K752" s="325"/>
      <c r="L752" s="325">
        <f t="shared" si="41"/>
        <v>0</v>
      </c>
      <c r="M752" s="325"/>
      <c r="N752" s="363"/>
      <c r="O752" s="363"/>
      <c r="P752" s="364"/>
    </row>
    <row r="753" ht="16.5" hidden="1" customHeight="1" spans="1:16">
      <c r="A753" s="347" t="s">
        <v>694</v>
      </c>
      <c r="B753" s="348"/>
      <c r="C753" s="348">
        <v>0</v>
      </c>
      <c r="D753" s="349"/>
      <c r="E753" s="348"/>
      <c r="F753" s="345"/>
      <c r="G753" s="346"/>
      <c r="H753" s="348"/>
      <c r="I753" s="345"/>
      <c r="J753" s="349"/>
      <c r="K753" s="325"/>
      <c r="L753" s="325">
        <f t="shared" si="41"/>
        <v>0</v>
      </c>
      <c r="M753" s="325"/>
      <c r="N753" s="363"/>
      <c r="O753" s="363"/>
      <c r="P753" s="364"/>
    </row>
    <row r="754" ht="16.5" hidden="1" customHeight="1" spans="1:16">
      <c r="A754" s="347" t="s">
        <v>695</v>
      </c>
      <c r="B754" s="348"/>
      <c r="C754" s="348">
        <v>0</v>
      </c>
      <c r="D754" s="349"/>
      <c r="E754" s="348"/>
      <c r="F754" s="345"/>
      <c r="G754" s="346"/>
      <c r="H754" s="348"/>
      <c r="I754" s="345"/>
      <c r="J754" s="349"/>
      <c r="K754" s="325"/>
      <c r="L754" s="325">
        <f t="shared" si="41"/>
        <v>0</v>
      </c>
      <c r="M754" s="325"/>
      <c r="N754" s="363"/>
      <c r="O754" s="363"/>
      <c r="P754" s="364"/>
    </row>
    <row r="755" ht="16.5" hidden="1" customHeight="1" spans="1:16">
      <c r="A755" s="347" t="s">
        <v>195</v>
      </c>
      <c r="B755" s="348"/>
      <c r="C755" s="348">
        <v>0</v>
      </c>
      <c r="D755" s="349"/>
      <c r="E755" s="348"/>
      <c r="F755" s="345"/>
      <c r="G755" s="346"/>
      <c r="H755" s="348"/>
      <c r="I755" s="345"/>
      <c r="J755" s="349"/>
      <c r="K755" s="325"/>
      <c r="L755" s="325">
        <f t="shared" si="41"/>
        <v>0</v>
      </c>
      <c r="M755" s="325"/>
      <c r="N755" s="363"/>
      <c r="O755" s="363"/>
      <c r="P755" s="364"/>
    </row>
    <row r="756" ht="16.5" hidden="1" customHeight="1" spans="1:16">
      <c r="A756" s="347" t="s">
        <v>696</v>
      </c>
      <c r="B756" s="348"/>
      <c r="C756" s="348">
        <v>0</v>
      </c>
      <c r="D756" s="349"/>
      <c r="E756" s="348"/>
      <c r="F756" s="345"/>
      <c r="G756" s="346"/>
      <c r="H756" s="348"/>
      <c r="I756" s="345"/>
      <c r="J756" s="349"/>
      <c r="K756" s="325"/>
      <c r="L756" s="325">
        <f t="shared" si="41"/>
        <v>0</v>
      </c>
      <c r="M756" s="325"/>
      <c r="N756" s="363"/>
      <c r="O756" s="363"/>
      <c r="P756" s="364"/>
    </row>
    <row r="757" ht="16.5" hidden="1" customHeight="1" spans="1:16">
      <c r="A757" s="347" t="s">
        <v>164</v>
      </c>
      <c r="B757" s="348"/>
      <c r="C757" s="348">
        <v>0</v>
      </c>
      <c r="D757" s="349"/>
      <c r="E757" s="348"/>
      <c r="F757" s="345"/>
      <c r="G757" s="346"/>
      <c r="H757" s="348"/>
      <c r="I757" s="345"/>
      <c r="J757" s="349"/>
      <c r="K757" s="325"/>
      <c r="L757" s="325">
        <f t="shared" si="41"/>
        <v>0</v>
      </c>
      <c r="M757" s="325"/>
      <c r="N757" s="363"/>
      <c r="O757" s="363"/>
      <c r="P757" s="364"/>
    </row>
    <row r="758" ht="16.5" hidden="1" customHeight="1" spans="1:16">
      <c r="A758" s="347" t="s">
        <v>697</v>
      </c>
      <c r="B758" s="348"/>
      <c r="C758" s="348"/>
      <c r="D758" s="349"/>
      <c r="E758" s="348"/>
      <c r="F758" s="345"/>
      <c r="G758" s="346"/>
      <c r="H758" s="348"/>
      <c r="I758" s="345"/>
      <c r="J758" s="349"/>
      <c r="K758" s="325"/>
      <c r="L758" s="325">
        <f t="shared" si="41"/>
        <v>0</v>
      </c>
      <c r="M758" s="325"/>
      <c r="N758" s="363"/>
      <c r="O758" s="363"/>
      <c r="P758" s="364"/>
    </row>
    <row r="759" s="326" customFormat="1" ht="16.5" customHeight="1" spans="1:16">
      <c r="A759" s="347" t="s">
        <v>698</v>
      </c>
      <c r="B759" s="348">
        <v>3180</v>
      </c>
      <c r="C759" s="348">
        <v>109</v>
      </c>
      <c r="D759" s="349">
        <f>C759/B759*100</f>
        <v>3.42767295597484</v>
      </c>
      <c r="E759" s="348">
        <f>39+2819</f>
        <v>2858</v>
      </c>
      <c r="F759" s="345">
        <f t="shared" ref="F759:F761" si="46">C759-E759</f>
        <v>-2749</v>
      </c>
      <c r="G759" s="346">
        <f>F759/E759*100</f>
        <v>-96.186144156753</v>
      </c>
      <c r="H759" s="348">
        <v>5680</v>
      </c>
      <c r="I759" s="345">
        <f t="shared" ref="I759:I761" si="47">H759-B759</f>
        <v>2500</v>
      </c>
      <c r="J759" s="349">
        <f>I759/B759*100</f>
        <v>78.6163522012579</v>
      </c>
      <c r="K759" s="325"/>
      <c r="L759" s="325">
        <f t="shared" si="41"/>
        <v>8705.85788100048</v>
      </c>
      <c r="M759" s="325"/>
      <c r="N759" s="363"/>
      <c r="O759" s="363"/>
      <c r="P759" s="364"/>
    </row>
    <row r="760" s="325" customFormat="1" ht="16.5" customHeight="1" spans="1:16">
      <c r="A760" s="344" t="s">
        <v>699</v>
      </c>
      <c r="B760" s="345">
        <f>B761+B772+B773+B776+B777+B778</f>
        <v>148265</v>
      </c>
      <c r="C760" s="345">
        <f>C761+C772+C773+C776+C777+C778</f>
        <v>187231</v>
      </c>
      <c r="D760" s="349">
        <f t="shared" ref="D760:D761" si="48">C760/B760*100</f>
        <v>126.28132060837</v>
      </c>
      <c r="E760" s="345">
        <f>E761+E772+E773+E776+E777+E778</f>
        <v>180759</v>
      </c>
      <c r="F760" s="345">
        <f t="shared" si="46"/>
        <v>6472</v>
      </c>
      <c r="G760" s="346">
        <f t="shared" ref="G760:G761" si="49">F760/E760*100</f>
        <v>3.58045795783336</v>
      </c>
      <c r="H760" s="345">
        <f>H761+H772+H773+H776+H777+H778</f>
        <v>152557.112795</v>
      </c>
      <c r="I760" s="345">
        <f t="shared" si="47"/>
        <v>4292.11279500002</v>
      </c>
      <c r="J760" s="349">
        <f t="shared" ref="J760:J761" si="50">I760/B760*100</f>
        <v>2.89489278993695</v>
      </c>
      <c r="L760" s="325">
        <f t="shared" si="41"/>
        <v>498949.982261356</v>
      </c>
      <c r="N760" s="362"/>
      <c r="O760" s="362"/>
      <c r="P760" s="364"/>
    </row>
    <row r="761" s="326" customFormat="1" ht="16.5" customHeight="1" spans="1:16">
      <c r="A761" s="347" t="s">
        <v>700</v>
      </c>
      <c r="B761" s="348">
        <v>34218</v>
      </c>
      <c r="C761" s="348">
        <v>48179</v>
      </c>
      <c r="D761" s="349">
        <f t="shared" si="48"/>
        <v>140.800163656555</v>
      </c>
      <c r="E761" s="348">
        <v>40053</v>
      </c>
      <c r="F761" s="345">
        <f t="shared" si="46"/>
        <v>8126</v>
      </c>
      <c r="G761" s="346">
        <f t="shared" si="49"/>
        <v>20.2881182433276</v>
      </c>
      <c r="H761" s="348">
        <f>SUM(H762:H771)</f>
        <v>34648.531231</v>
      </c>
      <c r="I761" s="345">
        <f t="shared" si="47"/>
        <v>430.531231000001</v>
      </c>
      <c r="J761" s="349">
        <f t="shared" si="50"/>
        <v>1.25820103746566</v>
      </c>
      <c r="K761" s="325"/>
      <c r="L761" s="325">
        <f t="shared" si="41"/>
        <v>125764.408944937</v>
      </c>
      <c r="M761" s="325"/>
      <c r="N761" s="363"/>
      <c r="O761" s="363"/>
      <c r="P761" s="364"/>
    </row>
    <row r="762" ht="16.5" customHeight="1" spans="1:16">
      <c r="A762" s="347" t="s">
        <v>155</v>
      </c>
      <c r="B762" s="348"/>
      <c r="C762" s="348"/>
      <c r="D762" s="349"/>
      <c r="E762" s="348"/>
      <c r="F762" s="345"/>
      <c r="G762" s="346"/>
      <c r="H762" s="348">
        <v>11620.34687</v>
      </c>
      <c r="I762" s="345"/>
      <c r="J762" s="349"/>
      <c r="K762" s="325"/>
      <c r="L762" s="325">
        <f t="shared" si="41"/>
        <v>11620.34687</v>
      </c>
      <c r="M762" s="325"/>
      <c r="N762" s="363"/>
      <c r="O762" s="363"/>
      <c r="P762" s="364"/>
    </row>
    <row r="763" ht="16.5" customHeight="1" spans="1:16">
      <c r="A763" s="347" t="s">
        <v>156</v>
      </c>
      <c r="B763" s="348"/>
      <c r="C763" s="348"/>
      <c r="D763" s="349"/>
      <c r="E763" s="348"/>
      <c r="F763" s="345"/>
      <c r="G763" s="346"/>
      <c r="H763" s="348">
        <v>2368.22</v>
      </c>
      <c r="I763" s="345"/>
      <c r="J763" s="349"/>
      <c r="K763" s="325"/>
      <c r="L763" s="325">
        <f t="shared" si="41"/>
        <v>2368.22</v>
      </c>
      <c r="M763" s="325"/>
      <c r="N763" s="363"/>
      <c r="O763" s="363"/>
      <c r="P763" s="364"/>
    </row>
    <row r="764" ht="16.5" hidden="1" customHeight="1" spans="1:16">
      <c r="A764" s="347" t="s">
        <v>157</v>
      </c>
      <c r="B764" s="348"/>
      <c r="C764" s="348"/>
      <c r="D764" s="349"/>
      <c r="E764" s="348"/>
      <c r="F764" s="345"/>
      <c r="G764" s="346"/>
      <c r="H764" s="348">
        <v>0</v>
      </c>
      <c r="I764" s="345"/>
      <c r="J764" s="349"/>
      <c r="K764" s="325"/>
      <c r="L764" s="325">
        <f t="shared" si="41"/>
        <v>0</v>
      </c>
      <c r="M764" s="325"/>
      <c r="N764" s="363"/>
      <c r="O764" s="363"/>
      <c r="P764" s="364"/>
    </row>
    <row r="765" ht="16.5" customHeight="1" spans="1:16">
      <c r="A765" s="347" t="s">
        <v>701</v>
      </c>
      <c r="B765" s="348"/>
      <c r="C765" s="348"/>
      <c r="D765" s="349"/>
      <c r="E765" s="348"/>
      <c r="F765" s="345"/>
      <c r="G765" s="346"/>
      <c r="H765" s="348">
        <v>3683</v>
      </c>
      <c r="I765" s="345"/>
      <c r="J765" s="349"/>
      <c r="K765" s="325"/>
      <c r="L765" s="325">
        <f t="shared" si="41"/>
        <v>3683</v>
      </c>
      <c r="M765" s="325"/>
      <c r="N765" s="363"/>
      <c r="O765" s="363"/>
      <c r="P765" s="364"/>
    </row>
    <row r="766" ht="16.5" hidden="1" customHeight="1" spans="1:16">
      <c r="A766" s="347" t="s">
        <v>702</v>
      </c>
      <c r="B766" s="348"/>
      <c r="C766" s="348"/>
      <c r="D766" s="349"/>
      <c r="E766" s="348"/>
      <c r="F766" s="345"/>
      <c r="G766" s="346"/>
      <c r="H766" s="348">
        <v>0</v>
      </c>
      <c r="I766" s="345"/>
      <c r="J766" s="349"/>
      <c r="K766" s="325"/>
      <c r="L766" s="325">
        <f t="shared" si="41"/>
        <v>0</v>
      </c>
      <c r="M766" s="325"/>
      <c r="N766" s="363"/>
      <c r="O766" s="363"/>
      <c r="P766" s="364"/>
    </row>
    <row r="767" ht="16.5" hidden="1" customHeight="1" spans="1:16">
      <c r="A767" s="347" t="s">
        <v>703</v>
      </c>
      <c r="B767" s="348"/>
      <c r="C767" s="348"/>
      <c r="D767" s="349"/>
      <c r="E767" s="348"/>
      <c r="F767" s="345"/>
      <c r="G767" s="346"/>
      <c r="H767" s="348">
        <v>0</v>
      </c>
      <c r="I767" s="345"/>
      <c r="J767" s="349"/>
      <c r="K767" s="325"/>
      <c r="L767" s="325">
        <f t="shared" si="41"/>
        <v>0</v>
      </c>
      <c r="M767" s="325"/>
      <c r="N767" s="363"/>
      <c r="O767" s="363"/>
      <c r="P767" s="364"/>
    </row>
    <row r="768" ht="16.5" customHeight="1" spans="1:16">
      <c r="A768" s="347" t="s">
        <v>704</v>
      </c>
      <c r="B768" s="348"/>
      <c r="C768" s="348"/>
      <c r="D768" s="349"/>
      <c r="E768" s="348"/>
      <c r="F768" s="345"/>
      <c r="G768" s="346"/>
      <c r="H768" s="348">
        <v>107.615678</v>
      </c>
      <c r="I768" s="345"/>
      <c r="J768" s="349"/>
      <c r="K768" s="325"/>
      <c r="L768" s="325">
        <f t="shared" si="41"/>
        <v>107.615678</v>
      </c>
      <c r="M768" s="325"/>
      <c r="N768" s="363"/>
      <c r="O768" s="363"/>
      <c r="P768" s="364"/>
    </row>
    <row r="769" ht="16.5" hidden="1" customHeight="1" spans="1:16">
      <c r="A769" s="347" t="s">
        <v>705</v>
      </c>
      <c r="B769" s="348"/>
      <c r="C769" s="348"/>
      <c r="D769" s="349"/>
      <c r="E769" s="348"/>
      <c r="F769" s="345"/>
      <c r="G769" s="346"/>
      <c r="H769" s="348">
        <v>0</v>
      </c>
      <c r="I769" s="345"/>
      <c r="J769" s="349"/>
      <c r="K769" s="325"/>
      <c r="L769" s="325">
        <f t="shared" si="41"/>
        <v>0</v>
      </c>
      <c r="M769" s="325"/>
      <c r="N769" s="363"/>
      <c r="O769" s="363"/>
      <c r="P769" s="364"/>
    </row>
    <row r="770" ht="16.5" hidden="1" customHeight="1" spans="1:16">
      <c r="A770" s="347" t="s">
        <v>706</v>
      </c>
      <c r="B770" s="348"/>
      <c r="C770" s="348"/>
      <c r="D770" s="349"/>
      <c r="E770" s="348"/>
      <c r="F770" s="345"/>
      <c r="G770" s="346"/>
      <c r="H770" s="348">
        <v>0</v>
      </c>
      <c r="I770" s="345"/>
      <c r="J770" s="349"/>
      <c r="K770" s="325"/>
      <c r="L770" s="325">
        <f t="shared" si="41"/>
        <v>0</v>
      </c>
      <c r="M770" s="325"/>
      <c r="N770" s="363"/>
      <c r="O770" s="363"/>
      <c r="P770" s="364"/>
    </row>
    <row r="771" ht="16.5" customHeight="1" spans="1:16">
      <c r="A771" s="347" t="s">
        <v>707</v>
      </c>
      <c r="B771" s="348"/>
      <c r="C771" s="348"/>
      <c r="D771" s="349"/>
      <c r="E771" s="348"/>
      <c r="F771" s="345"/>
      <c r="G771" s="346"/>
      <c r="H771" s="348">
        <v>16869.348683</v>
      </c>
      <c r="I771" s="345"/>
      <c r="J771" s="349"/>
      <c r="K771" s="325"/>
      <c r="L771" s="325">
        <f t="shared" si="41"/>
        <v>16869.348683</v>
      </c>
      <c r="M771" s="325"/>
      <c r="N771" s="363"/>
      <c r="O771" s="363"/>
      <c r="P771" s="364"/>
    </row>
    <row r="772" s="326" customFormat="1" ht="16.5" customHeight="1" spans="1:16">
      <c r="A772" s="347" t="s">
        <v>708</v>
      </c>
      <c r="B772" s="348">
        <v>10009</v>
      </c>
      <c r="C772" s="348">
        <v>6426</v>
      </c>
      <c r="D772" s="349">
        <f>C772/B772*100</f>
        <v>64.2022180037966</v>
      </c>
      <c r="E772" s="348">
        <v>5618</v>
      </c>
      <c r="F772" s="345">
        <f t="shared" ref="F772:F780" si="51">C772-E772</f>
        <v>808</v>
      </c>
      <c r="G772" s="346">
        <f>F772/E772*100</f>
        <v>14.3823424706301</v>
      </c>
      <c r="H772" s="348">
        <v>10497</v>
      </c>
      <c r="I772" s="345">
        <f t="shared" ref="I772:I780" si="52">H772-B772</f>
        <v>488</v>
      </c>
      <c r="J772" s="349">
        <f>I772/B772*100</f>
        <v>4.87561194924568</v>
      </c>
      <c r="K772" s="325"/>
      <c r="L772" s="325">
        <f t="shared" si="41"/>
        <v>28311.4601724237</v>
      </c>
      <c r="M772" s="325"/>
      <c r="N772" s="363"/>
      <c r="O772" s="363"/>
      <c r="P772" s="364"/>
    </row>
    <row r="773" s="326" customFormat="1" ht="16.5" customHeight="1" spans="1:16">
      <c r="A773" s="347" t="s">
        <v>709</v>
      </c>
      <c r="B773" s="348">
        <v>12785</v>
      </c>
      <c r="C773" s="348">
        <v>23561</v>
      </c>
      <c r="D773" s="349">
        <f>C773/B773*100</f>
        <v>184.286272976144</v>
      </c>
      <c r="E773" s="348">
        <v>87039</v>
      </c>
      <c r="F773" s="345">
        <f t="shared" si="51"/>
        <v>-63478</v>
      </c>
      <c r="G773" s="346">
        <f>F773/E773*100</f>
        <v>-72.9305253966613</v>
      </c>
      <c r="H773" s="348">
        <f>SUM(H774:H775)</f>
        <v>17911.074758</v>
      </c>
      <c r="I773" s="345">
        <f t="shared" si="52"/>
        <v>5126.074758</v>
      </c>
      <c r="J773" s="349">
        <f>I773/B773*100</f>
        <v>40.0944447242863</v>
      </c>
      <c r="K773" s="325"/>
      <c r="L773" s="325">
        <f t="shared" si="41"/>
        <v>-3943.40029169623</v>
      </c>
      <c r="M773" s="325"/>
      <c r="N773" s="363"/>
      <c r="O773" s="363"/>
      <c r="P773" s="364"/>
    </row>
    <row r="774" ht="16.5" customHeight="1" spans="1:16">
      <c r="A774" s="347" t="s">
        <v>710</v>
      </c>
      <c r="B774" s="348"/>
      <c r="C774" s="348"/>
      <c r="D774" s="349"/>
      <c r="E774" s="348"/>
      <c r="F774" s="345"/>
      <c r="G774" s="346"/>
      <c r="H774" s="348">
        <v>8425</v>
      </c>
      <c r="I774" s="345"/>
      <c r="J774" s="349"/>
      <c r="K774" s="325"/>
      <c r="L774" s="325">
        <f t="shared" si="41"/>
        <v>8425</v>
      </c>
      <c r="M774" s="325"/>
      <c r="N774" s="363"/>
      <c r="O774" s="363"/>
      <c r="P774" s="364"/>
    </row>
    <row r="775" ht="16.5" customHeight="1" spans="1:16">
      <c r="A775" s="347" t="s">
        <v>711</v>
      </c>
      <c r="B775" s="348"/>
      <c r="C775" s="348"/>
      <c r="D775" s="349"/>
      <c r="E775" s="348"/>
      <c r="F775" s="345"/>
      <c r="G775" s="346"/>
      <c r="H775" s="348">
        <v>9486.074758</v>
      </c>
      <c r="I775" s="345"/>
      <c r="J775" s="349"/>
      <c r="K775" s="325"/>
      <c r="L775" s="325">
        <f t="shared" si="41"/>
        <v>9486.074758</v>
      </c>
      <c r="M775" s="325"/>
      <c r="N775" s="363"/>
      <c r="O775" s="363"/>
      <c r="P775" s="364"/>
    </row>
    <row r="776" s="326" customFormat="1" ht="16.5" customHeight="1" spans="1:16">
      <c r="A776" s="347" t="s">
        <v>712</v>
      </c>
      <c r="B776" s="348">
        <v>21052</v>
      </c>
      <c r="C776" s="348">
        <v>33400</v>
      </c>
      <c r="D776" s="349">
        <f>C776/B776*100</f>
        <v>158.654759642789</v>
      </c>
      <c r="E776" s="348">
        <v>37625</v>
      </c>
      <c r="F776" s="345">
        <f t="shared" si="51"/>
        <v>-4225</v>
      </c>
      <c r="G776" s="346">
        <f>F776/E776*100</f>
        <v>-11.2292358803987</v>
      </c>
      <c r="H776" s="348">
        <v>19152.506806</v>
      </c>
      <c r="I776" s="345">
        <f t="shared" si="52"/>
        <v>-1899.493194</v>
      </c>
      <c r="J776" s="349">
        <f>I776/B776*100</f>
        <v>-9.02286335740072</v>
      </c>
      <c r="K776" s="325"/>
      <c r="L776" s="325">
        <f t="shared" ref="L776:L839" si="53">B776+C776+D776+F776+G776+H776+I776+J776</f>
        <v>67618.416272405</v>
      </c>
      <c r="M776" s="325"/>
      <c r="N776" s="363"/>
      <c r="O776" s="363"/>
      <c r="P776" s="364"/>
    </row>
    <row r="777" s="326" customFormat="1" ht="16.5" customHeight="1" spans="1:16">
      <c r="A777" s="347" t="s">
        <v>713</v>
      </c>
      <c r="B777" s="348">
        <v>290</v>
      </c>
      <c r="C777" s="348">
        <v>354</v>
      </c>
      <c r="D777" s="349">
        <f>C777/B777*100</f>
        <v>122.068965517241</v>
      </c>
      <c r="E777" s="348">
        <v>271</v>
      </c>
      <c r="F777" s="345">
        <f t="shared" si="51"/>
        <v>83</v>
      </c>
      <c r="G777" s="346">
        <f>F777/E777*100</f>
        <v>30.6273062730627</v>
      </c>
      <c r="H777" s="348">
        <v>289</v>
      </c>
      <c r="I777" s="345">
        <f t="shared" si="52"/>
        <v>-1</v>
      </c>
      <c r="J777" s="349">
        <f>I777/B777*100</f>
        <v>-0.344827586206897</v>
      </c>
      <c r="K777" s="325"/>
      <c r="L777" s="325">
        <f t="shared" si="53"/>
        <v>1167.3514442041</v>
      </c>
      <c r="M777" s="325"/>
      <c r="N777" s="363"/>
      <c r="O777" s="363"/>
      <c r="P777" s="364"/>
    </row>
    <row r="778" s="326" customFormat="1" ht="16.5" customHeight="1" spans="1:16">
      <c r="A778" s="347" t="s">
        <v>714</v>
      </c>
      <c r="B778" s="348">
        <v>69911</v>
      </c>
      <c r="C778" s="348">
        <v>75311</v>
      </c>
      <c r="D778" s="349">
        <f>C778/B778*100</f>
        <v>107.724106363805</v>
      </c>
      <c r="E778" s="348">
        <v>10153</v>
      </c>
      <c r="F778" s="345">
        <f t="shared" si="51"/>
        <v>65158</v>
      </c>
      <c r="G778" s="346">
        <f>F778/E778*100</f>
        <v>641.761055845563</v>
      </c>
      <c r="H778" s="348">
        <v>70059</v>
      </c>
      <c r="I778" s="345">
        <f t="shared" si="52"/>
        <v>148</v>
      </c>
      <c r="J778" s="349">
        <f>I778/B778*100</f>
        <v>0.211697729970963</v>
      </c>
      <c r="K778" s="325"/>
      <c r="L778" s="325">
        <f t="shared" si="53"/>
        <v>281336.696859939</v>
      </c>
      <c r="M778" s="325"/>
      <c r="N778" s="363"/>
      <c r="O778" s="363"/>
      <c r="P778" s="364"/>
    </row>
    <row r="779" s="325" customFormat="1" ht="16.5" customHeight="1" spans="1:16">
      <c r="A779" s="344" t="s">
        <v>715</v>
      </c>
      <c r="B779" s="345">
        <f>B780+B806+B829+B854+B860+B866+B872+B875</f>
        <v>464172</v>
      </c>
      <c r="C779" s="345">
        <f>C780+C806+C829+C854+C860+C866+C872+C875</f>
        <v>485642</v>
      </c>
      <c r="D779" s="349">
        <f>C779/B779*100</f>
        <v>104.625440569444</v>
      </c>
      <c r="E779" s="345">
        <f>E780+E806+E829+E854+E860+E866+E872+E875</f>
        <v>612998</v>
      </c>
      <c r="F779" s="345">
        <f t="shared" si="51"/>
        <v>-127356</v>
      </c>
      <c r="G779" s="346">
        <f>F779/E779*100</f>
        <v>-20.7759242281378</v>
      </c>
      <c r="H779" s="345">
        <f>H780+H806+H829+H854+H860+H866+H872+H875</f>
        <v>465550.6342</v>
      </c>
      <c r="I779" s="345">
        <f t="shared" si="52"/>
        <v>1378.63419999997</v>
      </c>
      <c r="J779" s="349">
        <f>I779/B779*100</f>
        <v>0.297009341364833</v>
      </c>
      <c r="L779" s="325">
        <f t="shared" si="53"/>
        <v>1289471.41492568</v>
      </c>
      <c r="N779" s="362"/>
      <c r="O779" s="362"/>
      <c r="P779" s="364"/>
    </row>
    <row r="780" s="326" customFormat="1" ht="16.5" customHeight="1" spans="1:16">
      <c r="A780" s="347" t="s">
        <v>716</v>
      </c>
      <c r="B780" s="348">
        <v>90675</v>
      </c>
      <c r="C780" s="348">
        <v>109689</v>
      </c>
      <c r="D780" s="349">
        <f>C780/B780*100</f>
        <v>120.969396195203</v>
      </c>
      <c r="E780" s="348">
        <v>111177</v>
      </c>
      <c r="F780" s="345">
        <f t="shared" si="51"/>
        <v>-1488</v>
      </c>
      <c r="G780" s="346">
        <f>F780/E780*100</f>
        <v>-1.33840632504925</v>
      </c>
      <c r="H780" s="348">
        <f>SUM(H781:H805)</f>
        <v>90479.2971</v>
      </c>
      <c r="I780" s="345">
        <f t="shared" si="52"/>
        <v>-195.702899999989</v>
      </c>
      <c r="J780" s="349">
        <f>I780/B780*100</f>
        <v>-0.215828949545067</v>
      </c>
      <c r="K780" s="325"/>
      <c r="L780" s="325">
        <f t="shared" si="53"/>
        <v>289279.009360921</v>
      </c>
      <c r="M780" s="325"/>
      <c r="N780" s="363"/>
      <c r="O780" s="363"/>
      <c r="P780" s="364"/>
    </row>
    <row r="781" ht="16.5" customHeight="1" spans="1:16">
      <c r="A781" s="347" t="s">
        <v>155</v>
      </c>
      <c r="B781" s="348"/>
      <c r="C781" s="348"/>
      <c r="D781" s="349"/>
      <c r="E781" s="348"/>
      <c r="F781" s="345"/>
      <c r="G781" s="346"/>
      <c r="H781" s="348">
        <v>19627.163775</v>
      </c>
      <c r="I781" s="345"/>
      <c r="J781" s="349"/>
      <c r="K781" s="325"/>
      <c r="L781" s="325">
        <f t="shared" si="53"/>
        <v>19627.163775</v>
      </c>
      <c r="M781" s="325"/>
      <c r="N781" s="363"/>
      <c r="O781" s="363"/>
      <c r="P781" s="364"/>
    </row>
    <row r="782" ht="16.5" customHeight="1" spans="1:16">
      <c r="A782" s="347" t="s">
        <v>156</v>
      </c>
      <c r="B782" s="348"/>
      <c r="C782" s="348"/>
      <c r="D782" s="349"/>
      <c r="E782" s="348"/>
      <c r="F782" s="345"/>
      <c r="G782" s="346"/>
      <c r="H782" s="348">
        <v>393.357504</v>
      </c>
      <c r="I782" s="345"/>
      <c r="J782" s="349"/>
      <c r="K782" s="325"/>
      <c r="L782" s="325">
        <f t="shared" si="53"/>
        <v>393.357504</v>
      </c>
      <c r="M782" s="325"/>
      <c r="N782" s="363"/>
      <c r="O782" s="363"/>
      <c r="P782" s="364"/>
    </row>
    <row r="783" ht="16.5" hidden="1" customHeight="1" spans="1:16">
      <c r="A783" s="347" t="s">
        <v>157</v>
      </c>
      <c r="B783" s="348"/>
      <c r="C783" s="348"/>
      <c r="D783" s="349"/>
      <c r="E783" s="348"/>
      <c r="F783" s="345"/>
      <c r="G783" s="346"/>
      <c r="H783" s="348">
        <v>0</v>
      </c>
      <c r="I783" s="345"/>
      <c r="J783" s="349"/>
      <c r="K783" s="325"/>
      <c r="L783" s="325">
        <f t="shared" si="53"/>
        <v>0</v>
      </c>
      <c r="M783" s="325"/>
      <c r="N783" s="363"/>
      <c r="O783" s="363"/>
      <c r="P783" s="364"/>
    </row>
    <row r="784" ht="16.5" customHeight="1" spans="1:16">
      <c r="A784" s="347" t="s">
        <v>164</v>
      </c>
      <c r="B784" s="348"/>
      <c r="C784" s="348"/>
      <c r="D784" s="349"/>
      <c r="E784" s="348"/>
      <c r="F784" s="345"/>
      <c r="G784" s="346"/>
      <c r="H784" s="348">
        <v>20457.375821</v>
      </c>
      <c r="I784" s="345"/>
      <c r="J784" s="349"/>
      <c r="K784" s="325"/>
      <c r="L784" s="325">
        <f t="shared" si="53"/>
        <v>20457.375821</v>
      </c>
      <c r="M784" s="325"/>
      <c r="N784" s="363"/>
      <c r="O784" s="363"/>
      <c r="P784" s="364"/>
    </row>
    <row r="785" ht="16.5" hidden="1" customHeight="1" spans="1:16">
      <c r="A785" s="347" t="s">
        <v>717</v>
      </c>
      <c r="B785" s="348"/>
      <c r="C785" s="348"/>
      <c r="D785" s="349"/>
      <c r="E785" s="348"/>
      <c r="F785" s="345"/>
      <c r="G785" s="346"/>
      <c r="H785" s="348">
        <v>0</v>
      </c>
      <c r="I785" s="345"/>
      <c r="J785" s="349"/>
      <c r="K785" s="325"/>
      <c r="L785" s="325">
        <f t="shared" si="53"/>
        <v>0</v>
      </c>
      <c r="M785" s="325"/>
      <c r="N785" s="363"/>
      <c r="O785" s="363"/>
      <c r="P785" s="364"/>
    </row>
    <row r="786" ht="16.5" customHeight="1" spans="1:16">
      <c r="A786" s="347" t="s">
        <v>718</v>
      </c>
      <c r="B786" s="348"/>
      <c r="C786" s="348"/>
      <c r="D786" s="349"/>
      <c r="E786" s="348"/>
      <c r="F786" s="345"/>
      <c r="G786" s="346"/>
      <c r="H786" s="348">
        <v>1186.69</v>
      </c>
      <c r="I786" s="345"/>
      <c r="J786" s="349"/>
      <c r="K786" s="325"/>
      <c r="L786" s="325">
        <f t="shared" si="53"/>
        <v>1186.69</v>
      </c>
      <c r="M786" s="325"/>
      <c r="N786" s="363"/>
      <c r="O786" s="363"/>
      <c r="P786" s="364"/>
    </row>
    <row r="787" ht="16.5" customHeight="1" spans="1:16">
      <c r="A787" s="347" t="s">
        <v>719</v>
      </c>
      <c r="B787" s="348"/>
      <c r="C787" s="348"/>
      <c r="D787" s="349"/>
      <c r="E787" s="348"/>
      <c r="F787" s="345"/>
      <c r="G787" s="346"/>
      <c r="H787" s="348">
        <v>2826.44</v>
      </c>
      <c r="I787" s="345"/>
      <c r="J787" s="349"/>
      <c r="K787" s="325"/>
      <c r="L787" s="325">
        <f t="shared" si="53"/>
        <v>2826.44</v>
      </c>
      <c r="M787" s="325"/>
      <c r="N787" s="363"/>
      <c r="O787" s="363"/>
      <c r="P787" s="364"/>
    </row>
    <row r="788" ht="16.5" customHeight="1" spans="1:16">
      <c r="A788" s="347" t="s">
        <v>720</v>
      </c>
      <c r="B788" s="348"/>
      <c r="C788" s="348"/>
      <c r="D788" s="349"/>
      <c r="E788" s="348"/>
      <c r="F788" s="345"/>
      <c r="G788" s="346"/>
      <c r="H788" s="348">
        <f>631.32-4.2</f>
        <v>627.12</v>
      </c>
      <c r="I788" s="345"/>
      <c r="J788" s="349"/>
      <c r="K788" s="325"/>
      <c r="L788" s="325">
        <f t="shared" si="53"/>
        <v>627.12</v>
      </c>
      <c r="M788" s="325"/>
      <c r="N788" s="363"/>
      <c r="O788" s="363"/>
      <c r="P788" s="364"/>
    </row>
    <row r="789" ht="16.5" customHeight="1" spans="1:16">
      <c r="A789" s="347" t="s">
        <v>721</v>
      </c>
      <c r="B789" s="348"/>
      <c r="C789" s="348"/>
      <c r="D789" s="349"/>
      <c r="E789" s="348"/>
      <c r="F789" s="345"/>
      <c r="G789" s="346"/>
      <c r="H789" s="348">
        <v>4.2</v>
      </c>
      <c r="I789" s="345"/>
      <c r="J789" s="349"/>
      <c r="K789" s="325"/>
      <c r="L789" s="325">
        <f t="shared" si="53"/>
        <v>4.2</v>
      </c>
      <c r="M789" s="325"/>
      <c r="N789" s="363"/>
      <c r="O789" s="363"/>
      <c r="P789" s="364"/>
    </row>
    <row r="790" ht="16.5" customHeight="1" spans="1:16">
      <c r="A790" s="347" t="s">
        <v>722</v>
      </c>
      <c r="B790" s="348"/>
      <c r="C790" s="348"/>
      <c r="D790" s="349"/>
      <c r="E790" s="348"/>
      <c r="F790" s="345"/>
      <c r="G790" s="346"/>
      <c r="H790" s="348">
        <v>51.5</v>
      </c>
      <c r="I790" s="345"/>
      <c r="J790" s="349"/>
      <c r="K790" s="325"/>
      <c r="L790" s="325">
        <f t="shared" si="53"/>
        <v>51.5</v>
      </c>
      <c r="M790" s="325"/>
      <c r="N790" s="363"/>
      <c r="O790" s="363"/>
      <c r="P790" s="364"/>
    </row>
    <row r="791" ht="16.5" customHeight="1" spans="1:16">
      <c r="A791" s="347" t="s">
        <v>723</v>
      </c>
      <c r="B791" s="348"/>
      <c r="C791" s="348"/>
      <c r="D791" s="349"/>
      <c r="E791" s="348"/>
      <c r="F791" s="345"/>
      <c r="G791" s="346"/>
      <c r="H791" s="348">
        <v>10</v>
      </c>
      <c r="I791" s="345"/>
      <c r="J791" s="349"/>
      <c r="K791" s="325"/>
      <c r="L791" s="325">
        <f t="shared" si="53"/>
        <v>10</v>
      </c>
      <c r="M791" s="325"/>
      <c r="N791" s="363"/>
      <c r="O791" s="363"/>
      <c r="P791" s="364"/>
    </row>
    <row r="792" ht="16.5" hidden="1" customHeight="1" spans="1:16">
      <c r="A792" s="347" t="s">
        <v>724</v>
      </c>
      <c r="B792" s="348"/>
      <c r="C792" s="348"/>
      <c r="D792" s="349"/>
      <c r="E792" s="348"/>
      <c r="F792" s="345"/>
      <c r="G792" s="346"/>
      <c r="H792" s="348">
        <v>0</v>
      </c>
      <c r="I792" s="345"/>
      <c r="J792" s="349"/>
      <c r="K792" s="325"/>
      <c r="L792" s="325">
        <f t="shared" si="53"/>
        <v>0</v>
      </c>
      <c r="M792" s="325"/>
      <c r="N792" s="363"/>
      <c r="O792" s="363"/>
      <c r="P792" s="364"/>
    </row>
    <row r="793" ht="16.5" customHeight="1" spans="1:16">
      <c r="A793" s="347" t="s">
        <v>725</v>
      </c>
      <c r="B793" s="348"/>
      <c r="C793" s="348"/>
      <c r="D793" s="349"/>
      <c r="E793" s="348"/>
      <c r="F793" s="345"/>
      <c r="G793" s="346"/>
      <c r="H793" s="348">
        <v>1465</v>
      </c>
      <c r="I793" s="345"/>
      <c r="J793" s="349"/>
      <c r="K793" s="325"/>
      <c r="L793" s="325">
        <f t="shared" si="53"/>
        <v>1465</v>
      </c>
      <c r="M793" s="325"/>
      <c r="N793" s="363"/>
      <c r="O793" s="363"/>
      <c r="P793" s="364"/>
    </row>
    <row r="794" ht="16.5" customHeight="1" spans="1:16">
      <c r="A794" s="347" t="s">
        <v>726</v>
      </c>
      <c r="B794" s="348"/>
      <c r="C794" s="348"/>
      <c r="D794" s="349"/>
      <c r="E794" s="348"/>
      <c r="F794" s="345"/>
      <c r="G794" s="346"/>
      <c r="H794" s="348">
        <v>14792</v>
      </c>
      <c r="I794" s="345"/>
      <c r="J794" s="349"/>
      <c r="K794" s="325"/>
      <c r="L794" s="325">
        <f t="shared" si="53"/>
        <v>14792</v>
      </c>
      <c r="M794" s="325"/>
      <c r="N794" s="363"/>
      <c r="O794" s="363"/>
      <c r="P794" s="364"/>
    </row>
    <row r="795" ht="16.5" customHeight="1" spans="1:16">
      <c r="A795" s="347" t="s">
        <v>727</v>
      </c>
      <c r="B795" s="348"/>
      <c r="C795" s="348"/>
      <c r="D795" s="349"/>
      <c r="E795" s="348"/>
      <c r="F795" s="345"/>
      <c r="G795" s="346"/>
      <c r="H795" s="348">
        <v>50</v>
      </c>
      <c r="I795" s="345"/>
      <c r="J795" s="349"/>
      <c r="K795" s="325"/>
      <c r="L795" s="325">
        <f t="shared" si="53"/>
        <v>50</v>
      </c>
      <c r="M795" s="325"/>
      <c r="N795" s="363"/>
      <c r="O795" s="363"/>
      <c r="P795" s="364"/>
    </row>
    <row r="796" ht="16.5" customHeight="1" spans="1:16">
      <c r="A796" s="347" t="s">
        <v>728</v>
      </c>
      <c r="B796" s="348"/>
      <c r="C796" s="348"/>
      <c r="D796" s="349"/>
      <c r="E796" s="348"/>
      <c r="F796" s="345"/>
      <c r="G796" s="346"/>
      <c r="H796" s="348">
        <v>16276</v>
      </c>
      <c r="I796" s="345"/>
      <c r="J796" s="349"/>
      <c r="K796" s="325"/>
      <c r="L796" s="325">
        <f t="shared" si="53"/>
        <v>16276</v>
      </c>
      <c r="M796" s="325"/>
      <c r="N796" s="363"/>
      <c r="O796" s="363"/>
      <c r="P796" s="364"/>
    </row>
    <row r="797" ht="16.5" customHeight="1" spans="1:16">
      <c r="A797" s="347" t="s">
        <v>729</v>
      </c>
      <c r="B797" s="348"/>
      <c r="C797" s="348"/>
      <c r="D797" s="349"/>
      <c r="E797" s="348"/>
      <c r="F797" s="345"/>
      <c r="G797" s="346"/>
      <c r="H797" s="348">
        <v>320</v>
      </c>
      <c r="I797" s="345"/>
      <c r="J797" s="349"/>
      <c r="K797" s="325"/>
      <c r="L797" s="325">
        <f t="shared" si="53"/>
        <v>320</v>
      </c>
      <c r="M797" s="325"/>
      <c r="N797" s="363"/>
      <c r="O797" s="363"/>
      <c r="P797" s="364"/>
    </row>
    <row r="798" ht="16.5" customHeight="1" spans="1:16">
      <c r="A798" s="347" t="s">
        <v>730</v>
      </c>
      <c r="B798" s="348"/>
      <c r="C798" s="348"/>
      <c r="D798" s="349"/>
      <c r="E798" s="348"/>
      <c r="F798" s="345"/>
      <c r="G798" s="346"/>
      <c r="H798" s="348">
        <v>115</v>
      </c>
      <c r="I798" s="345"/>
      <c r="J798" s="349"/>
      <c r="K798" s="325"/>
      <c r="L798" s="325">
        <f t="shared" si="53"/>
        <v>115</v>
      </c>
      <c r="M798" s="325"/>
      <c r="N798" s="363"/>
      <c r="O798" s="363"/>
      <c r="P798" s="364"/>
    </row>
    <row r="799" ht="16.5" customHeight="1" spans="1:16">
      <c r="A799" s="347" t="s">
        <v>731</v>
      </c>
      <c r="B799" s="348"/>
      <c r="C799" s="348"/>
      <c r="D799" s="349"/>
      <c r="E799" s="348"/>
      <c r="F799" s="345"/>
      <c r="G799" s="346"/>
      <c r="H799" s="348">
        <v>83</v>
      </c>
      <c r="I799" s="345"/>
      <c r="J799" s="349"/>
      <c r="K799" s="325"/>
      <c r="L799" s="325">
        <f t="shared" si="53"/>
        <v>83</v>
      </c>
      <c r="M799" s="325"/>
      <c r="N799" s="363"/>
      <c r="O799" s="363"/>
      <c r="P799" s="364"/>
    </row>
    <row r="800" ht="16.5" customHeight="1" spans="1:16">
      <c r="A800" s="347" t="s">
        <v>732</v>
      </c>
      <c r="B800" s="348"/>
      <c r="C800" s="348"/>
      <c r="D800" s="349"/>
      <c r="E800" s="348"/>
      <c r="F800" s="345"/>
      <c r="G800" s="346"/>
      <c r="H800" s="348">
        <v>1187</v>
      </c>
      <c r="I800" s="345"/>
      <c r="J800" s="349"/>
      <c r="K800" s="325"/>
      <c r="L800" s="325">
        <f t="shared" si="53"/>
        <v>1187</v>
      </c>
      <c r="M800" s="325"/>
      <c r="N800" s="363"/>
      <c r="O800" s="363"/>
      <c r="P800" s="364"/>
    </row>
    <row r="801" ht="16.5" hidden="1" customHeight="1" spans="1:16">
      <c r="A801" s="347" t="s">
        <v>733</v>
      </c>
      <c r="B801" s="348"/>
      <c r="C801" s="348"/>
      <c r="D801" s="349"/>
      <c r="E801" s="348"/>
      <c r="F801" s="345"/>
      <c r="G801" s="346"/>
      <c r="H801" s="348">
        <v>0</v>
      </c>
      <c r="I801" s="345"/>
      <c r="J801" s="349"/>
      <c r="K801" s="325"/>
      <c r="L801" s="325">
        <f t="shared" si="53"/>
        <v>0</v>
      </c>
      <c r="M801" s="325"/>
      <c r="N801" s="363"/>
      <c r="O801" s="363"/>
      <c r="P801" s="364"/>
    </row>
    <row r="802" ht="16.5" customHeight="1" spans="1:16">
      <c r="A802" s="347" t="s">
        <v>734</v>
      </c>
      <c r="B802" s="348"/>
      <c r="C802" s="348"/>
      <c r="D802" s="349"/>
      <c r="E802" s="348"/>
      <c r="F802" s="345"/>
      <c r="G802" s="346"/>
      <c r="H802" s="348">
        <v>50</v>
      </c>
      <c r="I802" s="345"/>
      <c r="J802" s="349"/>
      <c r="K802" s="325"/>
      <c r="L802" s="325">
        <f t="shared" si="53"/>
        <v>50</v>
      </c>
      <c r="M802" s="325"/>
      <c r="N802" s="363"/>
      <c r="O802" s="363"/>
      <c r="P802" s="364"/>
    </row>
    <row r="803" ht="16.5" customHeight="1" spans="1:16">
      <c r="A803" s="347" t="s">
        <v>735</v>
      </c>
      <c r="B803" s="348"/>
      <c r="C803" s="348"/>
      <c r="D803" s="349"/>
      <c r="E803" s="348"/>
      <c r="F803" s="345"/>
      <c r="G803" s="346"/>
      <c r="H803" s="348">
        <v>25</v>
      </c>
      <c r="I803" s="345"/>
      <c r="J803" s="349"/>
      <c r="K803" s="325"/>
      <c r="L803" s="325">
        <f t="shared" si="53"/>
        <v>25</v>
      </c>
      <c r="M803" s="325"/>
      <c r="N803" s="363"/>
      <c r="O803" s="363"/>
      <c r="P803" s="364"/>
    </row>
    <row r="804" ht="16.5" customHeight="1" spans="1:16">
      <c r="A804" s="347" t="s">
        <v>736</v>
      </c>
      <c r="B804" s="348"/>
      <c r="C804" s="348"/>
      <c r="D804" s="349"/>
      <c r="E804" s="348"/>
      <c r="F804" s="345"/>
      <c r="G804" s="346"/>
      <c r="H804" s="348">
        <v>5806.45</v>
      </c>
      <c r="I804" s="345"/>
      <c r="J804" s="349"/>
      <c r="K804" s="325"/>
      <c r="L804" s="325">
        <f t="shared" si="53"/>
        <v>5806.45</v>
      </c>
      <c r="M804" s="325"/>
      <c r="N804" s="363"/>
      <c r="O804" s="363"/>
      <c r="P804" s="364"/>
    </row>
    <row r="805" ht="16.5" customHeight="1" spans="1:16">
      <c r="A805" s="347" t="s">
        <v>737</v>
      </c>
      <c r="B805" s="348"/>
      <c r="C805" s="348"/>
      <c r="D805" s="349"/>
      <c r="E805" s="348"/>
      <c r="F805" s="345"/>
      <c r="G805" s="346"/>
      <c r="H805" s="348">
        <v>5126</v>
      </c>
      <c r="I805" s="345"/>
      <c r="J805" s="349"/>
      <c r="K805" s="325"/>
      <c r="L805" s="325">
        <f t="shared" si="53"/>
        <v>5126</v>
      </c>
      <c r="M805" s="325"/>
      <c r="N805" s="363"/>
      <c r="O805" s="363"/>
      <c r="P805" s="364"/>
    </row>
    <row r="806" s="326" customFormat="1" ht="16.5" customHeight="1" spans="1:16">
      <c r="A806" s="347" t="s">
        <v>738</v>
      </c>
      <c r="B806" s="348">
        <v>25061</v>
      </c>
      <c r="C806" s="348">
        <v>19622</v>
      </c>
      <c r="D806" s="349">
        <f>C806/B806*100</f>
        <v>78.2969554287538</v>
      </c>
      <c r="E806" s="348">
        <v>18558</v>
      </c>
      <c r="F806" s="345">
        <f>C806-E806</f>
        <v>1064</v>
      </c>
      <c r="G806" s="346">
        <f>F806/E806*100</f>
        <v>5.73337644142688</v>
      </c>
      <c r="H806" s="348">
        <f>SUM(H807:H828)</f>
        <v>25254.373484</v>
      </c>
      <c r="I806" s="345">
        <f>H806-B806</f>
        <v>193.373484</v>
      </c>
      <c r="J806" s="349">
        <f>I806/B806*100</f>
        <v>0.771611204660627</v>
      </c>
      <c r="K806" s="325"/>
      <c r="L806" s="325">
        <f t="shared" si="53"/>
        <v>71279.5489110748</v>
      </c>
      <c r="M806" s="325"/>
      <c r="N806" s="363"/>
      <c r="O806" s="363"/>
      <c r="P806" s="364"/>
    </row>
    <row r="807" ht="16.5" customHeight="1" spans="1:16">
      <c r="A807" s="365" t="s">
        <v>155</v>
      </c>
      <c r="B807" s="348"/>
      <c r="C807" s="348"/>
      <c r="D807" s="349"/>
      <c r="E807" s="348"/>
      <c r="F807" s="345"/>
      <c r="G807" s="346"/>
      <c r="H807" s="348">
        <v>4777.747266</v>
      </c>
      <c r="I807" s="345"/>
      <c r="J807" s="349"/>
      <c r="K807" s="325"/>
      <c r="L807" s="325">
        <f t="shared" si="53"/>
        <v>4777.747266</v>
      </c>
      <c r="M807" s="325"/>
      <c r="N807" s="363"/>
      <c r="O807" s="363"/>
      <c r="P807" s="364"/>
    </row>
    <row r="808" ht="16.5" customHeight="1" spans="1:16">
      <c r="A808" s="365" t="s">
        <v>156</v>
      </c>
      <c r="B808" s="348"/>
      <c r="C808" s="348"/>
      <c r="D808" s="349"/>
      <c r="E808" s="348"/>
      <c r="F808" s="345"/>
      <c r="G808" s="346"/>
      <c r="H808" s="348">
        <v>100</v>
      </c>
      <c r="I808" s="345"/>
      <c r="J808" s="349"/>
      <c r="K808" s="325"/>
      <c r="L808" s="325">
        <f t="shared" si="53"/>
        <v>100</v>
      </c>
      <c r="M808" s="325"/>
      <c r="N808" s="363"/>
      <c r="O808" s="363"/>
      <c r="P808" s="364"/>
    </row>
    <row r="809" ht="16.5" hidden="1" customHeight="1" spans="1:16">
      <c r="A809" s="365" t="s">
        <v>157</v>
      </c>
      <c r="B809" s="348"/>
      <c r="C809" s="348"/>
      <c r="D809" s="349"/>
      <c r="E809" s="348"/>
      <c r="F809" s="345"/>
      <c r="G809" s="346"/>
      <c r="H809" s="348">
        <v>0</v>
      </c>
      <c r="I809" s="345"/>
      <c r="J809" s="349"/>
      <c r="K809" s="325"/>
      <c r="L809" s="325">
        <f t="shared" si="53"/>
        <v>0</v>
      </c>
      <c r="M809" s="325"/>
      <c r="N809" s="363"/>
      <c r="O809" s="363"/>
      <c r="P809" s="364"/>
    </row>
    <row r="810" ht="16.5" customHeight="1" spans="1:16">
      <c r="A810" s="365" t="s">
        <v>739</v>
      </c>
      <c r="B810" s="348"/>
      <c r="C810" s="348"/>
      <c r="D810" s="349"/>
      <c r="E810" s="348"/>
      <c r="F810" s="345"/>
      <c r="G810" s="346"/>
      <c r="H810" s="348">
        <v>6127.159958</v>
      </c>
      <c r="I810" s="345"/>
      <c r="J810" s="349"/>
      <c r="K810" s="325"/>
      <c r="L810" s="325">
        <f t="shared" si="53"/>
        <v>6127.159958</v>
      </c>
      <c r="M810" s="325"/>
      <c r="N810" s="363"/>
      <c r="O810" s="363"/>
      <c r="P810" s="364"/>
    </row>
    <row r="811" ht="16.5" customHeight="1" spans="1:16">
      <c r="A811" s="365" t="s">
        <v>740</v>
      </c>
      <c r="B811" s="348"/>
      <c r="C811" s="348"/>
      <c r="D811" s="349"/>
      <c r="E811" s="348"/>
      <c r="F811" s="345"/>
      <c r="G811" s="346"/>
      <c r="H811" s="348">
        <v>3812.11626</v>
      </c>
      <c r="I811" s="345"/>
      <c r="J811" s="349"/>
      <c r="K811" s="325"/>
      <c r="L811" s="325">
        <f t="shared" si="53"/>
        <v>3812.11626</v>
      </c>
      <c r="M811" s="325"/>
      <c r="N811" s="363"/>
      <c r="O811" s="363"/>
      <c r="P811" s="364"/>
    </row>
    <row r="812" ht="16.5" customHeight="1" spans="1:16">
      <c r="A812" s="365" t="s">
        <v>741</v>
      </c>
      <c r="B812" s="348"/>
      <c r="C812" s="348"/>
      <c r="D812" s="349"/>
      <c r="E812" s="348"/>
      <c r="F812" s="345"/>
      <c r="G812" s="346"/>
      <c r="H812" s="348">
        <v>200</v>
      </c>
      <c r="I812" s="345"/>
      <c r="J812" s="349"/>
      <c r="K812" s="325"/>
      <c r="L812" s="325">
        <f t="shared" si="53"/>
        <v>200</v>
      </c>
      <c r="M812" s="325"/>
      <c r="N812" s="363"/>
      <c r="O812" s="363"/>
      <c r="P812" s="364"/>
    </row>
    <row r="813" ht="16.5" customHeight="1" spans="1:16">
      <c r="A813" s="365" t="s">
        <v>742</v>
      </c>
      <c r="B813" s="348"/>
      <c r="C813" s="348"/>
      <c r="D813" s="349"/>
      <c r="E813" s="348"/>
      <c r="F813" s="345"/>
      <c r="G813" s="346"/>
      <c r="H813" s="348">
        <v>10</v>
      </c>
      <c r="I813" s="345"/>
      <c r="J813" s="349"/>
      <c r="K813" s="325"/>
      <c r="L813" s="325">
        <f t="shared" si="53"/>
        <v>10</v>
      </c>
      <c r="M813" s="325"/>
      <c r="N813" s="363"/>
      <c r="O813" s="363"/>
      <c r="P813" s="364"/>
    </row>
    <row r="814" ht="16.5" customHeight="1" spans="1:16">
      <c r="A814" s="365" t="s">
        <v>743</v>
      </c>
      <c r="B814" s="348"/>
      <c r="C814" s="348"/>
      <c r="D814" s="349"/>
      <c r="E814" s="348"/>
      <c r="F814" s="345"/>
      <c r="G814" s="346"/>
      <c r="H814" s="348">
        <f>318.95-20</f>
        <v>298.95</v>
      </c>
      <c r="I814" s="345"/>
      <c r="J814" s="349"/>
      <c r="K814" s="325"/>
      <c r="L814" s="325">
        <f t="shared" si="53"/>
        <v>298.95</v>
      </c>
      <c r="M814" s="325"/>
      <c r="N814" s="363"/>
      <c r="O814" s="363"/>
      <c r="P814" s="364"/>
    </row>
    <row r="815" ht="16.5" customHeight="1" spans="1:16">
      <c r="A815" s="365" t="s">
        <v>744</v>
      </c>
      <c r="B815" s="348"/>
      <c r="C815" s="348"/>
      <c r="D815" s="349"/>
      <c r="E815" s="348"/>
      <c r="F815" s="345"/>
      <c r="G815" s="346"/>
      <c r="H815" s="348">
        <v>6</v>
      </c>
      <c r="I815" s="345"/>
      <c r="J815" s="349"/>
      <c r="K815" s="325"/>
      <c r="L815" s="325">
        <f t="shared" si="53"/>
        <v>6</v>
      </c>
      <c r="M815" s="325"/>
      <c r="N815" s="363"/>
      <c r="O815" s="363"/>
      <c r="P815" s="364"/>
    </row>
    <row r="816" ht="16.5" customHeight="1" spans="1:16">
      <c r="A816" s="365" t="s">
        <v>745</v>
      </c>
      <c r="B816" s="348"/>
      <c r="C816" s="348"/>
      <c r="D816" s="349"/>
      <c r="E816" s="348"/>
      <c r="F816" s="345"/>
      <c r="G816" s="346"/>
      <c r="H816" s="348">
        <v>20</v>
      </c>
      <c r="I816" s="345"/>
      <c r="J816" s="349"/>
      <c r="K816" s="325"/>
      <c r="L816" s="325">
        <f t="shared" si="53"/>
        <v>20</v>
      </c>
      <c r="M816" s="325"/>
      <c r="N816" s="363"/>
      <c r="O816" s="363"/>
      <c r="P816" s="364"/>
    </row>
    <row r="817" ht="16.5" customHeight="1" spans="1:16">
      <c r="A817" s="365" t="s">
        <v>746</v>
      </c>
      <c r="B817" s="348"/>
      <c r="C817" s="348"/>
      <c r="D817" s="349"/>
      <c r="E817" s="348"/>
      <c r="F817" s="345"/>
      <c r="G817" s="346"/>
      <c r="H817" s="348">
        <v>500</v>
      </c>
      <c r="I817" s="345"/>
      <c r="J817" s="349"/>
      <c r="K817" s="325"/>
      <c r="L817" s="325">
        <f t="shared" si="53"/>
        <v>500</v>
      </c>
      <c r="M817" s="325"/>
      <c r="N817" s="363"/>
      <c r="O817" s="363"/>
      <c r="P817" s="364"/>
    </row>
    <row r="818" ht="16.5" hidden="1" customHeight="1" spans="1:16">
      <c r="A818" s="365" t="s">
        <v>747</v>
      </c>
      <c r="B818" s="348"/>
      <c r="C818" s="348"/>
      <c r="D818" s="349"/>
      <c r="E818" s="348"/>
      <c r="F818" s="345"/>
      <c r="G818" s="346"/>
      <c r="H818" s="348">
        <v>0</v>
      </c>
      <c r="I818" s="345"/>
      <c r="J818" s="349"/>
      <c r="K818" s="325"/>
      <c r="L818" s="325">
        <f t="shared" si="53"/>
        <v>0</v>
      </c>
      <c r="M818" s="325"/>
      <c r="N818" s="363"/>
      <c r="O818" s="363"/>
      <c r="P818" s="364"/>
    </row>
    <row r="819" ht="16.5" hidden="1" customHeight="1" spans="1:16">
      <c r="A819" s="365" t="s">
        <v>748</v>
      </c>
      <c r="B819" s="348"/>
      <c r="C819" s="348"/>
      <c r="D819" s="349"/>
      <c r="E819" s="348"/>
      <c r="F819" s="345"/>
      <c r="G819" s="346"/>
      <c r="H819" s="348">
        <v>0</v>
      </c>
      <c r="I819" s="345"/>
      <c r="J819" s="349"/>
      <c r="K819" s="325"/>
      <c r="L819" s="325">
        <f t="shared" si="53"/>
        <v>0</v>
      </c>
      <c r="M819" s="325"/>
      <c r="N819" s="363"/>
      <c r="O819" s="363"/>
      <c r="P819" s="364"/>
    </row>
    <row r="820" ht="16.5" hidden="1" customHeight="1" spans="1:16">
      <c r="A820" s="365" t="s">
        <v>749</v>
      </c>
      <c r="B820" s="348"/>
      <c r="C820" s="348"/>
      <c r="D820" s="349"/>
      <c r="E820" s="348"/>
      <c r="F820" s="345"/>
      <c r="G820" s="346"/>
      <c r="H820" s="348">
        <v>0</v>
      </c>
      <c r="I820" s="345"/>
      <c r="J820" s="349"/>
      <c r="K820" s="325"/>
      <c r="L820" s="325">
        <f t="shared" si="53"/>
        <v>0</v>
      </c>
      <c r="M820" s="325"/>
      <c r="N820" s="363"/>
      <c r="O820" s="363"/>
      <c r="P820" s="364"/>
    </row>
    <row r="821" ht="16.5" hidden="1" customHeight="1" spans="1:16">
      <c r="A821" s="365" t="s">
        <v>750</v>
      </c>
      <c r="B821" s="348"/>
      <c r="C821" s="348"/>
      <c r="D821" s="349"/>
      <c r="E821" s="348"/>
      <c r="F821" s="345"/>
      <c r="G821" s="346"/>
      <c r="H821" s="348">
        <v>0</v>
      </c>
      <c r="I821" s="345"/>
      <c r="J821" s="349"/>
      <c r="K821" s="325"/>
      <c r="L821" s="325">
        <f t="shared" si="53"/>
        <v>0</v>
      </c>
      <c r="M821" s="325"/>
      <c r="N821" s="363"/>
      <c r="O821" s="363"/>
      <c r="P821" s="364"/>
    </row>
    <row r="822" ht="16.5" hidden="1" customHeight="1" spans="1:16">
      <c r="A822" s="365" t="s">
        <v>751</v>
      </c>
      <c r="B822" s="348"/>
      <c r="C822" s="348"/>
      <c r="D822" s="349"/>
      <c r="E822" s="348"/>
      <c r="F822" s="345"/>
      <c r="G822" s="346"/>
      <c r="H822" s="348">
        <v>0</v>
      </c>
      <c r="I822" s="345"/>
      <c r="J822" s="349"/>
      <c r="K822" s="325"/>
      <c r="L822" s="325">
        <f t="shared" si="53"/>
        <v>0</v>
      </c>
      <c r="M822" s="325"/>
      <c r="N822" s="363"/>
      <c r="O822" s="363"/>
      <c r="P822" s="364"/>
    </row>
    <row r="823" ht="16.5" hidden="1" customHeight="1" spans="1:16">
      <c r="A823" s="365" t="s">
        <v>752</v>
      </c>
      <c r="B823" s="348"/>
      <c r="C823" s="348"/>
      <c r="D823" s="349"/>
      <c r="E823" s="348"/>
      <c r="F823" s="345"/>
      <c r="G823" s="346"/>
      <c r="H823" s="348">
        <v>0</v>
      </c>
      <c r="I823" s="345"/>
      <c r="J823" s="349"/>
      <c r="K823" s="325"/>
      <c r="L823" s="325">
        <f t="shared" si="53"/>
        <v>0</v>
      </c>
      <c r="M823" s="325"/>
      <c r="N823" s="363"/>
      <c r="O823" s="363"/>
      <c r="P823" s="364"/>
    </row>
    <row r="824" ht="16.5" customHeight="1" spans="1:16">
      <c r="A824" s="365" t="s">
        <v>753</v>
      </c>
      <c r="B824" s="348"/>
      <c r="C824" s="348"/>
      <c r="D824" s="349"/>
      <c r="E824" s="348"/>
      <c r="F824" s="345"/>
      <c r="G824" s="346"/>
      <c r="H824" s="348">
        <v>676.6</v>
      </c>
      <c r="I824" s="345"/>
      <c r="J824" s="349"/>
      <c r="K824" s="325"/>
      <c r="L824" s="325">
        <f t="shared" si="53"/>
        <v>676.6</v>
      </c>
      <c r="M824" s="325"/>
      <c r="N824" s="363"/>
      <c r="O824" s="363"/>
      <c r="P824" s="364"/>
    </row>
    <row r="825" ht="16.5" hidden="1" customHeight="1" spans="1:16">
      <c r="A825" s="365" t="s">
        <v>754</v>
      </c>
      <c r="B825" s="348"/>
      <c r="C825" s="348"/>
      <c r="D825" s="349"/>
      <c r="E825" s="348"/>
      <c r="F825" s="345"/>
      <c r="G825" s="346"/>
      <c r="H825" s="348">
        <v>0</v>
      </c>
      <c r="I825" s="345"/>
      <c r="J825" s="349"/>
      <c r="K825" s="325"/>
      <c r="L825" s="325">
        <f t="shared" si="53"/>
        <v>0</v>
      </c>
      <c r="M825" s="325"/>
      <c r="N825" s="363"/>
      <c r="O825" s="363"/>
      <c r="P825" s="364"/>
    </row>
    <row r="826" ht="16.5" hidden="1" customHeight="1" spans="1:16">
      <c r="A826" s="365" t="s">
        <v>723</v>
      </c>
      <c r="B826" s="348"/>
      <c r="C826" s="348"/>
      <c r="D826" s="349"/>
      <c r="E826" s="348"/>
      <c r="F826" s="345"/>
      <c r="G826" s="346"/>
      <c r="H826" s="348">
        <v>0</v>
      </c>
      <c r="I826" s="345"/>
      <c r="J826" s="349"/>
      <c r="K826" s="325"/>
      <c r="L826" s="325">
        <f t="shared" si="53"/>
        <v>0</v>
      </c>
      <c r="M826" s="325"/>
      <c r="N826" s="363"/>
      <c r="O826" s="363"/>
      <c r="P826" s="364"/>
    </row>
    <row r="827" ht="16.5" hidden="1" customHeight="1" spans="1:16">
      <c r="A827" s="365" t="s">
        <v>755</v>
      </c>
      <c r="B827" s="348"/>
      <c r="C827" s="348"/>
      <c r="D827" s="349"/>
      <c r="E827" s="348"/>
      <c r="F827" s="345"/>
      <c r="G827" s="346"/>
      <c r="H827" s="348">
        <v>0</v>
      </c>
      <c r="I827" s="345"/>
      <c r="J827" s="349"/>
      <c r="K827" s="325"/>
      <c r="L827" s="325">
        <f t="shared" si="53"/>
        <v>0</v>
      </c>
      <c r="M827" s="325"/>
      <c r="N827" s="363"/>
      <c r="O827" s="363"/>
      <c r="P827" s="364"/>
    </row>
    <row r="828" ht="16.5" customHeight="1" spans="1:16">
      <c r="A828" s="365" t="s">
        <v>756</v>
      </c>
      <c r="B828" s="348"/>
      <c r="C828" s="348"/>
      <c r="D828" s="349"/>
      <c r="E828" s="348"/>
      <c r="F828" s="345"/>
      <c r="G828" s="346"/>
      <c r="H828" s="348">
        <f>6225.8+2500</f>
        <v>8725.8</v>
      </c>
      <c r="I828" s="345"/>
      <c r="J828" s="349"/>
      <c r="K828" s="325"/>
      <c r="L828" s="325">
        <f t="shared" si="53"/>
        <v>8725.8</v>
      </c>
      <c r="M828" s="325"/>
      <c r="N828" s="363"/>
      <c r="O828" s="363"/>
      <c r="P828" s="364"/>
    </row>
    <row r="829" s="326" customFormat="1" ht="16.5" customHeight="1" spans="1:16">
      <c r="A829" s="347" t="s">
        <v>757</v>
      </c>
      <c r="B829" s="348">
        <v>79832</v>
      </c>
      <c r="C829" s="348">
        <v>93196</v>
      </c>
      <c r="D829" s="349">
        <f>C829/B829*100</f>
        <v>116.740154324081</v>
      </c>
      <c r="E829" s="348">
        <v>214564</v>
      </c>
      <c r="F829" s="345">
        <f>C829-E829</f>
        <v>-121368</v>
      </c>
      <c r="G829" s="346">
        <f>F829/E829*100</f>
        <v>-56.5649409966257</v>
      </c>
      <c r="H829" s="348">
        <f>SUM(H830:H853)</f>
        <v>88242.963616</v>
      </c>
      <c r="I829" s="345">
        <f>H829-B829</f>
        <v>8410.96361599999</v>
      </c>
      <c r="J829" s="349">
        <f>I829/B829*100</f>
        <v>10.5358297625012</v>
      </c>
      <c r="K829" s="325"/>
      <c r="L829" s="325">
        <f t="shared" si="53"/>
        <v>148384.63827509</v>
      </c>
      <c r="M829" s="325"/>
      <c r="N829" s="363"/>
      <c r="O829" s="363"/>
      <c r="P829" s="364"/>
    </row>
    <row r="830" ht="16.5" customHeight="1" spans="1:16">
      <c r="A830" s="347" t="s">
        <v>155</v>
      </c>
      <c r="B830" s="348"/>
      <c r="C830" s="348"/>
      <c r="D830" s="349"/>
      <c r="E830" s="348"/>
      <c r="F830" s="345"/>
      <c r="G830" s="346"/>
      <c r="H830" s="348">
        <v>10172.07637</v>
      </c>
      <c r="I830" s="345"/>
      <c r="J830" s="349"/>
      <c r="K830" s="325"/>
      <c r="L830" s="325">
        <f t="shared" si="53"/>
        <v>10172.07637</v>
      </c>
      <c r="M830" s="325"/>
      <c r="N830" s="363"/>
      <c r="O830" s="363"/>
      <c r="P830" s="364"/>
    </row>
    <row r="831" ht="16.5" customHeight="1" spans="1:16">
      <c r="A831" s="347" t="s">
        <v>156</v>
      </c>
      <c r="B831" s="348"/>
      <c r="C831" s="348"/>
      <c r="D831" s="349"/>
      <c r="E831" s="348"/>
      <c r="F831" s="345"/>
      <c r="G831" s="346"/>
      <c r="H831" s="348">
        <v>2714.412</v>
      </c>
      <c r="I831" s="345"/>
      <c r="J831" s="349"/>
      <c r="K831" s="325"/>
      <c r="L831" s="325">
        <f t="shared" si="53"/>
        <v>2714.412</v>
      </c>
      <c r="M831" s="325"/>
      <c r="N831" s="363"/>
      <c r="O831" s="363"/>
      <c r="P831" s="364"/>
    </row>
    <row r="832" ht="16.5" customHeight="1" spans="1:16">
      <c r="A832" s="365" t="s">
        <v>157</v>
      </c>
      <c r="B832" s="348"/>
      <c r="C832" s="348"/>
      <c r="D832" s="349"/>
      <c r="E832" s="348"/>
      <c r="F832" s="345"/>
      <c r="G832" s="346"/>
      <c r="H832" s="348">
        <v>373</v>
      </c>
      <c r="I832" s="345"/>
      <c r="J832" s="349"/>
      <c r="K832" s="325"/>
      <c r="L832" s="325">
        <f t="shared" si="53"/>
        <v>373</v>
      </c>
      <c r="M832" s="325"/>
      <c r="N832" s="363"/>
      <c r="O832" s="363"/>
      <c r="P832" s="364"/>
    </row>
    <row r="833" ht="16.5" customHeight="1" spans="1:16">
      <c r="A833" s="347" t="s">
        <v>758</v>
      </c>
      <c r="B833" s="348"/>
      <c r="C833" s="348"/>
      <c r="D833" s="349"/>
      <c r="E833" s="348"/>
      <c r="F833" s="345"/>
      <c r="G833" s="346"/>
      <c r="H833" s="348">
        <v>2270.224185</v>
      </c>
      <c r="I833" s="345"/>
      <c r="J833" s="349"/>
      <c r="K833" s="325"/>
      <c r="L833" s="325">
        <f t="shared" si="53"/>
        <v>2270.224185</v>
      </c>
      <c r="M833" s="325"/>
      <c r="N833" s="363"/>
      <c r="O833" s="363"/>
      <c r="P833" s="364"/>
    </row>
    <row r="834" ht="16.5" customHeight="1" spans="1:16">
      <c r="A834" s="347" t="s">
        <v>759</v>
      </c>
      <c r="B834" s="348"/>
      <c r="C834" s="348"/>
      <c r="D834" s="349"/>
      <c r="E834" s="348"/>
      <c r="F834" s="345"/>
      <c r="G834" s="346"/>
      <c r="H834" s="348">
        <f>4828-60</f>
        <v>4768</v>
      </c>
      <c r="I834" s="345"/>
      <c r="J834" s="349"/>
      <c r="K834" s="325"/>
      <c r="L834" s="325">
        <f t="shared" si="53"/>
        <v>4768</v>
      </c>
      <c r="M834" s="325"/>
      <c r="N834" s="363"/>
      <c r="O834" s="363"/>
      <c r="P834" s="364"/>
    </row>
    <row r="835" ht="16.5" customHeight="1" spans="1:16">
      <c r="A835" s="347" t="s">
        <v>760</v>
      </c>
      <c r="B835" s="348"/>
      <c r="C835" s="348"/>
      <c r="D835" s="349"/>
      <c r="E835" s="348"/>
      <c r="F835" s="345"/>
      <c r="G835" s="346"/>
      <c r="H835" s="348">
        <v>7833</v>
      </c>
      <c r="I835" s="345"/>
      <c r="J835" s="349"/>
      <c r="K835" s="325"/>
      <c r="L835" s="325">
        <f t="shared" si="53"/>
        <v>7833</v>
      </c>
      <c r="M835" s="325"/>
      <c r="N835" s="363"/>
      <c r="O835" s="363"/>
      <c r="P835" s="364"/>
    </row>
    <row r="836" ht="16.5" customHeight="1" spans="1:16">
      <c r="A836" s="347" t="s">
        <v>761</v>
      </c>
      <c r="B836" s="348"/>
      <c r="C836" s="348"/>
      <c r="D836" s="349"/>
      <c r="E836" s="348"/>
      <c r="F836" s="345"/>
      <c r="G836" s="346"/>
      <c r="H836" s="348">
        <v>68</v>
      </c>
      <c r="I836" s="345"/>
      <c r="J836" s="349"/>
      <c r="K836" s="325"/>
      <c r="L836" s="325">
        <f t="shared" si="53"/>
        <v>68</v>
      </c>
      <c r="M836" s="325"/>
      <c r="N836" s="363"/>
      <c r="O836" s="363"/>
      <c r="P836" s="364"/>
    </row>
    <row r="837" ht="16.5" customHeight="1" spans="1:16">
      <c r="A837" s="347" t="s">
        <v>762</v>
      </c>
      <c r="B837" s="348"/>
      <c r="C837" s="348"/>
      <c r="D837" s="349"/>
      <c r="E837" s="348"/>
      <c r="F837" s="345"/>
      <c r="G837" s="346"/>
      <c r="H837" s="348">
        <v>2</v>
      </c>
      <c r="I837" s="345"/>
      <c r="J837" s="349"/>
      <c r="K837" s="325"/>
      <c r="L837" s="325">
        <f t="shared" si="53"/>
        <v>2</v>
      </c>
      <c r="M837" s="325"/>
      <c r="N837" s="363"/>
      <c r="O837" s="363"/>
      <c r="P837" s="364"/>
    </row>
    <row r="838" ht="16.5" customHeight="1" spans="1:16">
      <c r="A838" s="347" t="s">
        <v>763</v>
      </c>
      <c r="B838" s="348"/>
      <c r="C838" s="348"/>
      <c r="D838" s="349"/>
      <c r="E838" s="348"/>
      <c r="F838" s="345"/>
      <c r="G838" s="346"/>
      <c r="H838" s="348">
        <v>338</v>
      </c>
      <c r="I838" s="345"/>
      <c r="J838" s="349"/>
      <c r="K838" s="325"/>
      <c r="L838" s="325">
        <f t="shared" si="53"/>
        <v>338</v>
      </c>
      <c r="M838" s="325"/>
      <c r="N838" s="363"/>
      <c r="O838" s="363"/>
      <c r="P838" s="364"/>
    </row>
    <row r="839" ht="16.5" customHeight="1" spans="1:16">
      <c r="A839" s="347" t="s">
        <v>764</v>
      </c>
      <c r="B839" s="348"/>
      <c r="C839" s="348"/>
      <c r="D839" s="349"/>
      <c r="E839" s="348"/>
      <c r="F839" s="345"/>
      <c r="G839" s="346"/>
      <c r="H839" s="348">
        <v>898</v>
      </c>
      <c r="I839" s="345"/>
      <c r="J839" s="349"/>
      <c r="K839" s="325"/>
      <c r="L839" s="325">
        <f t="shared" si="53"/>
        <v>898</v>
      </c>
      <c r="M839" s="325"/>
      <c r="N839" s="363"/>
      <c r="O839" s="363"/>
      <c r="P839" s="364"/>
    </row>
    <row r="840" ht="16.5" hidden="1" customHeight="1" spans="1:16">
      <c r="A840" s="347" t="s">
        <v>765</v>
      </c>
      <c r="B840" s="348"/>
      <c r="C840" s="348"/>
      <c r="D840" s="349"/>
      <c r="E840" s="348"/>
      <c r="F840" s="345"/>
      <c r="G840" s="346"/>
      <c r="H840" s="348">
        <v>0</v>
      </c>
      <c r="I840" s="345"/>
      <c r="J840" s="349"/>
      <c r="K840" s="325"/>
      <c r="L840" s="325">
        <f t="shared" ref="L840:L903" si="54">B840+C840+D840+F840+G840+H840+I840+J840</f>
        <v>0</v>
      </c>
      <c r="M840" s="325"/>
      <c r="N840" s="363"/>
      <c r="O840" s="363"/>
      <c r="P840" s="364"/>
    </row>
    <row r="841" ht="16.5" customHeight="1" spans="1:16">
      <c r="A841" s="347" t="s">
        <v>766</v>
      </c>
      <c r="B841" s="348"/>
      <c r="C841" s="348"/>
      <c r="D841" s="349"/>
      <c r="E841" s="348"/>
      <c r="F841" s="345"/>
      <c r="G841" s="346"/>
      <c r="H841" s="348">
        <v>2</v>
      </c>
      <c r="I841" s="345"/>
      <c r="J841" s="349"/>
      <c r="K841" s="325"/>
      <c r="L841" s="325">
        <f t="shared" si="54"/>
        <v>2</v>
      </c>
      <c r="M841" s="325"/>
      <c r="N841" s="363"/>
      <c r="O841" s="363"/>
      <c r="P841" s="364"/>
    </row>
    <row r="842" ht="16.5" customHeight="1" spans="1:16">
      <c r="A842" s="347" t="s">
        <v>767</v>
      </c>
      <c r="B842" s="348"/>
      <c r="C842" s="348"/>
      <c r="D842" s="349"/>
      <c r="E842" s="348"/>
      <c r="F842" s="345"/>
      <c r="G842" s="346"/>
      <c r="H842" s="348">
        <v>1631.641461</v>
      </c>
      <c r="I842" s="345"/>
      <c r="J842" s="349"/>
      <c r="K842" s="325"/>
      <c r="L842" s="325">
        <f t="shared" si="54"/>
        <v>1631.641461</v>
      </c>
      <c r="M842" s="325"/>
      <c r="N842" s="363"/>
      <c r="O842" s="363"/>
      <c r="P842" s="364"/>
    </row>
    <row r="843" ht="16.5" customHeight="1" spans="1:16">
      <c r="A843" s="347" t="s">
        <v>768</v>
      </c>
      <c r="B843" s="348"/>
      <c r="C843" s="348"/>
      <c r="D843" s="349"/>
      <c r="E843" s="348"/>
      <c r="F843" s="345"/>
      <c r="G843" s="346"/>
      <c r="H843" s="348">
        <v>158</v>
      </c>
      <c r="I843" s="345"/>
      <c r="J843" s="349"/>
      <c r="K843" s="325"/>
      <c r="L843" s="325">
        <f t="shared" si="54"/>
        <v>158</v>
      </c>
      <c r="M843" s="325"/>
      <c r="N843" s="363"/>
      <c r="O843" s="363"/>
      <c r="P843" s="364"/>
    </row>
    <row r="844" ht="16.5" customHeight="1" spans="1:16">
      <c r="A844" s="347" t="s">
        <v>769</v>
      </c>
      <c r="B844" s="348"/>
      <c r="C844" s="348"/>
      <c r="D844" s="349"/>
      <c r="E844" s="348"/>
      <c r="F844" s="345"/>
      <c r="G844" s="346"/>
      <c r="H844" s="348">
        <v>23</v>
      </c>
      <c r="I844" s="345"/>
      <c r="J844" s="349"/>
      <c r="K844" s="325"/>
      <c r="L844" s="325">
        <f t="shared" si="54"/>
        <v>23</v>
      </c>
      <c r="M844" s="325"/>
      <c r="N844" s="363"/>
      <c r="O844" s="363"/>
      <c r="P844" s="364"/>
    </row>
    <row r="845" ht="16.5" customHeight="1" spans="1:16">
      <c r="A845" s="347" t="s">
        <v>770</v>
      </c>
      <c r="B845" s="348"/>
      <c r="C845" s="348"/>
      <c r="D845" s="349"/>
      <c r="E845" s="348"/>
      <c r="F845" s="345"/>
      <c r="G845" s="346"/>
      <c r="H845" s="348">
        <v>40</v>
      </c>
      <c r="I845" s="345"/>
      <c r="J845" s="349"/>
      <c r="K845" s="325"/>
      <c r="L845" s="325">
        <f t="shared" si="54"/>
        <v>40</v>
      </c>
      <c r="M845" s="325"/>
      <c r="N845" s="363"/>
      <c r="O845" s="363"/>
      <c r="P845" s="364"/>
    </row>
    <row r="846" ht="16.5" hidden="1" customHeight="1" spans="1:16">
      <c r="A846" s="347" t="s">
        <v>771</v>
      </c>
      <c r="B846" s="348"/>
      <c r="C846" s="348"/>
      <c r="D846" s="349"/>
      <c r="E846" s="348"/>
      <c r="F846" s="345"/>
      <c r="G846" s="346"/>
      <c r="H846" s="348">
        <v>0</v>
      </c>
      <c r="I846" s="345"/>
      <c r="J846" s="349"/>
      <c r="K846" s="325"/>
      <c r="L846" s="325">
        <f t="shared" si="54"/>
        <v>0</v>
      </c>
      <c r="M846" s="325"/>
      <c r="N846" s="363"/>
      <c r="O846" s="363"/>
      <c r="P846" s="364"/>
    </row>
    <row r="847" ht="16.5" customHeight="1" spans="1:16">
      <c r="A847" s="347" t="s">
        <v>772</v>
      </c>
      <c r="B847" s="348"/>
      <c r="C847" s="348"/>
      <c r="D847" s="349"/>
      <c r="E847" s="348"/>
      <c r="F847" s="345"/>
      <c r="G847" s="346"/>
      <c r="H847" s="348">
        <v>5820</v>
      </c>
      <c r="I847" s="345"/>
      <c r="J847" s="349"/>
      <c r="K847" s="325"/>
      <c r="L847" s="325">
        <f t="shared" si="54"/>
        <v>5820</v>
      </c>
      <c r="M847" s="325"/>
      <c r="N847" s="363"/>
      <c r="O847" s="363"/>
      <c r="P847" s="364"/>
    </row>
    <row r="848" ht="16.5" customHeight="1" spans="1:16">
      <c r="A848" s="347" t="s">
        <v>773</v>
      </c>
      <c r="B848" s="348"/>
      <c r="C848" s="348"/>
      <c r="D848" s="349"/>
      <c r="E848" s="348"/>
      <c r="F848" s="345"/>
      <c r="G848" s="346"/>
      <c r="H848" s="348">
        <v>3004</v>
      </c>
      <c r="I848" s="345"/>
      <c r="J848" s="349"/>
      <c r="K848" s="325"/>
      <c r="L848" s="325">
        <f t="shared" si="54"/>
        <v>3004</v>
      </c>
      <c r="M848" s="325"/>
      <c r="N848" s="363"/>
      <c r="O848" s="363"/>
      <c r="P848" s="364"/>
    </row>
    <row r="849" ht="16.5" customHeight="1" spans="1:16">
      <c r="A849" s="347" t="s">
        <v>774</v>
      </c>
      <c r="B849" s="348"/>
      <c r="C849" s="348"/>
      <c r="D849" s="349"/>
      <c r="E849" s="348"/>
      <c r="F849" s="345"/>
      <c r="G849" s="346"/>
      <c r="H849" s="348">
        <v>60</v>
      </c>
      <c r="I849" s="345"/>
      <c r="J849" s="349"/>
      <c r="K849" s="325"/>
      <c r="L849" s="325">
        <f t="shared" si="54"/>
        <v>60</v>
      </c>
      <c r="M849" s="325"/>
      <c r="N849" s="363"/>
      <c r="O849" s="363"/>
      <c r="P849" s="364"/>
    </row>
    <row r="850" ht="16.5" customHeight="1" spans="1:16">
      <c r="A850" s="347" t="s">
        <v>750</v>
      </c>
      <c r="B850" s="348"/>
      <c r="C850" s="348"/>
      <c r="D850" s="349"/>
      <c r="E850" s="348"/>
      <c r="F850" s="345"/>
      <c r="G850" s="346"/>
      <c r="H850" s="348">
        <v>2</v>
      </c>
      <c r="I850" s="345"/>
      <c r="J850" s="349"/>
      <c r="K850" s="325"/>
      <c r="L850" s="325">
        <f t="shared" si="54"/>
        <v>2</v>
      </c>
      <c r="M850" s="325"/>
      <c r="N850" s="363"/>
      <c r="O850" s="363"/>
      <c r="P850" s="364"/>
    </row>
    <row r="851" ht="16.5" customHeight="1" spans="1:16">
      <c r="A851" s="347" t="s">
        <v>775</v>
      </c>
      <c r="B851" s="348"/>
      <c r="C851" s="348"/>
      <c r="D851" s="349"/>
      <c r="E851" s="348"/>
      <c r="F851" s="345"/>
      <c r="G851" s="346"/>
      <c r="H851" s="348">
        <v>1177</v>
      </c>
      <c r="I851" s="345"/>
      <c r="J851" s="349"/>
      <c r="K851" s="325"/>
      <c r="L851" s="325">
        <f t="shared" si="54"/>
        <v>1177</v>
      </c>
      <c r="M851" s="325"/>
      <c r="N851" s="363"/>
      <c r="O851" s="363"/>
      <c r="P851" s="364"/>
    </row>
    <row r="852" ht="16.5" customHeight="1" spans="1:16">
      <c r="A852" s="347" t="s">
        <v>776</v>
      </c>
      <c r="B852" s="348"/>
      <c r="C852" s="348"/>
      <c r="D852" s="349"/>
      <c r="E852" s="348"/>
      <c r="F852" s="345"/>
      <c r="G852" s="346"/>
      <c r="H852" s="348">
        <v>584</v>
      </c>
      <c r="I852" s="345"/>
      <c r="J852" s="349"/>
      <c r="K852" s="325"/>
      <c r="L852" s="325">
        <f t="shared" si="54"/>
        <v>584</v>
      </c>
      <c r="M852" s="325"/>
      <c r="N852" s="363"/>
      <c r="O852" s="363"/>
      <c r="P852" s="364"/>
    </row>
    <row r="853" ht="16.5" customHeight="1" spans="1:16">
      <c r="A853" s="347" t="s">
        <v>777</v>
      </c>
      <c r="B853" s="348"/>
      <c r="C853" s="348"/>
      <c r="D853" s="349"/>
      <c r="E853" s="348"/>
      <c r="F853" s="345"/>
      <c r="G853" s="346"/>
      <c r="H853" s="348">
        <f>3304.6096+43000</f>
        <v>46304.6096</v>
      </c>
      <c r="I853" s="345"/>
      <c r="J853" s="349"/>
      <c r="K853" s="325"/>
      <c r="L853" s="325">
        <f t="shared" si="54"/>
        <v>46304.6096</v>
      </c>
      <c r="M853" s="325"/>
      <c r="N853" s="363"/>
      <c r="O853" s="363"/>
      <c r="P853" s="364"/>
    </row>
    <row r="854" s="326" customFormat="1" ht="16.5" customHeight="1" spans="1:16">
      <c r="A854" s="347" t="s">
        <v>778</v>
      </c>
      <c r="B854" s="348">
        <v>113963</v>
      </c>
      <c r="C854" s="348">
        <v>139935</v>
      </c>
      <c r="D854" s="349">
        <f>C854/B854*100</f>
        <v>122.789852846977</v>
      </c>
      <c r="E854" s="348">
        <v>147467</v>
      </c>
      <c r="F854" s="345">
        <f>C854-E854</f>
        <v>-7532</v>
      </c>
      <c r="G854" s="346">
        <f>F854/E854*100</f>
        <v>-5.10758339153845</v>
      </c>
      <c r="H854" s="348">
        <f>SUM(H855:H859)</f>
        <v>112992</v>
      </c>
      <c r="I854" s="345">
        <f>H854-B854</f>
        <v>-971</v>
      </c>
      <c r="J854" s="349">
        <f>I854/B854*100</f>
        <v>-0.852030922316892</v>
      </c>
      <c r="K854" s="325"/>
      <c r="L854" s="325">
        <f t="shared" si="54"/>
        <v>358503.830238533</v>
      </c>
      <c r="M854" s="325"/>
      <c r="N854" s="363"/>
      <c r="O854" s="363"/>
      <c r="P854" s="364"/>
    </row>
    <row r="855" ht="16.5" customHeight="1" spans="1:16">
      <c r="A855" s="347" t="s">
        <v>779</v>
      </c>
      <c r="B855" s="348"/>
      <c r="C855" s="348"/>
      <c r="D855" s="349"/>
      <c r="E855" s="348"/>
      <c r="F855" s="345"/>
      <c r="G855" s="346"/>
      <c r="H855" s="348">
        <v>14867</v>
      </c>
      <c r="I855" s="345"/>
      <c r="J855" s="349"/>
      <c r="K855" s="325"/>
      <c r="L855" s="325">
        <f t="shared" si="54"/>
        <v>14867</v>
      </c>
      <c r="M855" s="325"/>
      <c r="N855" s="363"/>
      <c r="O855" s="363"/>
      <c r="P855" s="364"/>
    </row>
    <row r="856" ht="16.5" customHeight="1" spans="1:16">
      <c r="A856" s="347" t="s">
        <v>780</v>
      </c>
      <c r="B856" s="348"/>
      <c r="C856" s="348"/>
      <c r="D856" s="349"/>
      <c r="E856" s="348"/>
      <c r="F856" s="345"/>
      <c r="G856" s="346"/>
      <c r="H856" s="348">
        <v>10794</v>
      </c>
      <c r="I856" s="345"/>
      <c r="J856" s="349"/>
      <c r="K856" s="325"/>
      <c r="L856" s="325">
        <f t="shared" si="54"/>
        <v>10794</v>
      </c>
      <c r="M856" s="325"/>
      <c r="N856" s="363"/>
      <c r="O856" s="363"/>
      <c r="P856" s="364"/>
    </row>
    <row r="857" ht="16.5" customHeight="1" spans="1:16">
      <c r="A857" s="347" t="s">
        <v>781</v>
      </c>
      <c r="B857" s="348"/>
      <c r="C857" s="348"/>
      <c r="D857" s="349"/>
      <c r="E857" s="348"/>
      <c r="F857" s="345"/>
      <c r="G857" s="346"/>
      <c r="H857" s="348">
        <v>2250</v>
      </c>
      <c r="I857" s="345"/>
      <c r="J857" s="349"/>
      <c r="K857" s="325"/>
      <c r="L857" s="325">
        <f t="shared" si="54"/>
        <v>2250</v>
      </c>
      <c r="M857" s="325"/>
      <c r="N857" s="363"/>
      <c r="O857" s="363"/>
      <c r="P857" s="364"/>
    </row>
    <row r="858" ht="16.5" customHeight="1" spans="1:16">
      <c r="A858" s="347" t="s">
        <v>782</v>
      </c>
      <c r="B858" s="348"/>
      <c r="C858" s="348"/>
      <c r="D858" s="349"/>
      <c r="E858" s="348"/>
      <c r="F858" s="345"/>
      <c r="G858" s="346"/>
      <c r="H858" s="348">
        <v>2376</v>
      </c>
      <c r="I858" s="345"/>
      <c r="J858" s="349"/>
      <c r="K858" s="325"/>
      <c r="L858" s="325">
        <f t="shared" si="54"/>
        <v>2376</v>
      </c>
      <c r="M858" s="325"/>
      <c r="N858" s="363"/>
      <c r="O858" s="363"/>
      <c r="P858" s="364"/>
    </row>
    <row r="859" ht="16.5" customHeight="1" spans="1:16">
      <c r="A859" s="347" t="s">
        <v>783</v>
      </c>
      <c r="B859" s="348"/>
      <c r="C859" s="348"/>
      <c r="D859" s="349"/>
      <c r="E859" s="348"/>
      <c r="F859" s="345"/>
      <c r="G859" s="346"/>
      <c r="H859" s="348">
        <v>82705</v>
      </c>
      <c r="I859" s="345"/>
      <c r="J859" s="349"/>
      <c r="K859" s="325"/>
      <c r="L859" s="325">
        <f t="shared" si="54"/>
        <v>82705</v>
      </c>
      <c r="M859" s="325"/>
      <c r="N859" s="363"/>
      <c r="O859" s="363"/>
      <c r="P859" s="364"/>
    </row>
    <row r="860" s="326" customFormat="1" ht="16.5" customHeight="1" spans="1:16">
      <c r="A860" s="347" t="s">
        <v>784</v>
      </c>
      <c r="B860" s="348">
        <v>79909</v>
      </c>
      <c r="C860" s="348">
        <v>79049</v>
      </c>
      <c r="D860" s="349">
        <f>C860/B860*100</f>
        <v>98.9237757949668</v>
      </c>
      <c r="E860" s="348">
        <v>65287</v>
      </c>
      <c r="F860" s="345">
        <f>C860-E860</f>
        <v>13762</v>
      </c>
      <c r="G860" s="346">
        <f>F860/E860*100</f>
        <v>21.0792347634292</v>
      </c>
      <c r="H860" s="348">
        <f>SUM(H861:H865)</f>
        <v>78890</v>
      </c>
      <c r="I860" s="345">
        <f>H860-B860</f>
        <v>-1019</v>
      </c>
      <c r="J860" s="349">
        <f>I860/B860*100</f>
        <v>-1.27520054061495</v>
      </c>
      <c r="K860" s="325"/>
      <c r="L860" s="325">
        <f t="shared" si="54"/>
        <v>250709.727810018</v>
      </c>
      <c r="M860" s="325"/>
      <c r="N860" s="363"/>
      <c r="O860" s="363"/>
      <c r="P860" s="364"/>
    </row>
    <row r="861" ht="16.5" customHeight="1" spans="1:16">
      <c r="A861" s="347" t="s">
        <v>785</v>
      </c>
      <c r="B861" s="348"/>
      <c r="C861" s="348"/>
      <c r="D861" s="349"/>
      <c r="E861" s="348"/>
      <c r="F861" s="345"/>
      <c r="G861" s="346"/>
      <c r="H861" s="348">
        <v>21439</v>
      </c>
      <c r="I861" s="345"/>
      <c r="J861" s="349"/>
      <c r="K861" s="325"/>
      <c r="L861" s="325">
        <f t="shared" si="54"/>
        <v>21439</v>
      </c>
      <c r="M861" s="325"/>
      <c r="N861" s="363"/>
      <c r="O861" s="363"/>
      <c r="P861" s="364"/>
    </row>
    <row r="862" ht="16.5" customHeight="1" spans="1:16">
      <c r="A862" s="347" t="s">
        <v>786</v>
      </c>
      <c r="B862" s="348"/>
      <c r="C862" s="348"/>
      <c r="D862" s="349"/>
      <c r="E862" s="348"/>
      <c r="F862" s="345"/>
      <c r="G862" s="346"/>
      <c r="H862" s="348">
        <v>46502</v>
      </c>
      <c r="I862" s="345"/>
      <c r="J862" s="349"/>
      <c r="K862" s="325"/>
      <c r="L862" s="325">
        <f t="shared" si="54"/>
        <v>46502</v>
      </c>
      <c r="M862" s="325"/>
      <c r="N862" s="363"/>
      <c r="O862" s="363"/>
      <c r="P862" s="364"/>
    </row>
    <row r="863" ht="16.5" customHeight="1" spans="1:16">
      <c r="A863" s="347" t="s">
        <v>787</v>
      </c>
      <c r="B863" s="348"/>
      <c r="C863" s="348"/>
      <c r="D863" s="349"/>
      <c r="E863" s="348"/>
      <c r="F863" s="345"/>
      <c r="G863" s="346"/>
      <c r="H863" s="348">
        <v>400</v>
      </c>
      <c r="I863" s="345"/>
      <c r="J863" s="349"/>
      <c r="K863" s="325"/>
      <c r="L863" s="325">
        <f t="shared" si="54"/>
        <v>400</v>
      </c>
      <c r="M863" s="325"/>
      <c r="N863" s="363"/>
      <c r="O863" s="363"/>
      <c r="P863" s="364"/>
    </row>
    <row r="864" ht="16.5" customHeight="1" spans="1:16">
      <c r="A864" s="347" t="s">
        <v>788</v>
      </c>
      <c r="B864" s="348"/>
      <c r="C864" s="348"/>
      <c r="D864" s="349"/>
      <c r="E864" s="348"/>
      <c r="F864" s="345"/>
      <c r="G864" s="346"/>
      <c r="H864" s="348">
        <v>4137</v>
      </c>
      <c r="I864" s="345"/>
      <c r="J864" s="349"/>
      <c r="K864" s="325"/>
      <c r="L864" s="325">
        <f t="shared" si="54"/>
        <v>4137</v>
      </c>
      <c r="M864" s="325"/>
      <c r="N864" s="363"/>
      <c r="O864" s="363"/>
      <c r="P864" s="364"/>
    </row>
    <row r="865" ht="16.5" customHeight="1" spans="1:16">
      <c r="A865" s="347" t="s">
        <v>789</v>
      </c>
      <c r="B865" s="348"/>
      <c r="C865" s="348"/>
      <c r="D865" s="349"/>
      <c r="E865" s="348"/>
      <c r="F865" s="345"/>
      <c r="G865" s="346"/>
      <c r="H865" s="348">
        <f>1412+5000</f>
        <v>6412</v>
      </c>
      <c r="I865" s="345"/>
      <c r="J865" s="349"/>
      <c r="K865" s="325"/>
      <c r="L865" s="325">
        <f t="shared" si="54"/>
        <v>6412</v>
      </c>
      <c r="M865" s="325"/>
      <c r="N865" s="363"/>
      <c r="O865" s="363"/>
      <c r="P865" s="364"/>
    </row>
    <row r="866" s="326" customFormat="1" ht="16.5" customHeight="1" spans="1:16">
      <c r="A866" s="347" t="s">
        <v>790</v>
      </c>
      <c r="B866" s="348">
        <v>63471</v>
      </c>
      <c r="C866" s="348">
        <v>39067</v>
      </c>
      <c r="D866" s="349">
        <f>C866/B866*100</f>
        <v>61.5509445258465</v>
      </c>
      <c r="E866" s="348">
        <v>50074</v>
      </c>
      <c r="F866" s="345">
        <f>C866-E866</f>
        <v>-11007</v>
      </c>
      <c r="G866" s="346">
        <f>F866/E866*100</f>
        <v>-21.9814674282063</v>
      </c>
      <c r="H866" s="348">
        <f>SUM(H867:H871)</f>
        <v>56549</v>
      </c>
      <c r="I866" s="345">
        <f>H866-B866</f>
        <v>-6922</v>
      </c>
      <c r="J866" s="349">
        <f>I866/B866*100</f>
        <v>-10.9057679885302</v>
      </c>
      <c r="K866" s="325"/>
      <c r="L866" s="325">
        <f t="shared" si="54"/>
        <v>141186.663709109</v>
      </c>
      <c r="M866" s="325"/>
      <c r="N866" s="363"/>
      <c r="O866" s="363"/>
      <c r="P866" s="364"/>
    </row>
    <row r="867" ht="16.5" customHeight="1" spans="1:16">
      <c r="A867" s="347" t="s">
        <v>791</v>
      </c>
      <c r="B867" s="348"/>
      <c r="C867" s="348">
        <v>0</v>
      </c>
      <c r="D867" s="349"/>
      <c r="E867" s="348"/>
      <c r="F867" s="345"/>
      <c r="G867" s="346"/>
      <c r="H867" s="348">
        <v>1678</v>
      </c>
      <c r="I867" s="345"/>
      <c r="J867" s="349"/>
      <c r="K867" s="325"/>
      <c r="L867" s="325">
        <f t="shared" si="54"/>
        <v>1678</v>
      </c>
      <c r="M867" s="325"/>
      <c r="N867" s="363"/>
      <c r="O867" s="363"/>
      <c r="P867" s="364"/>
    </row>
    <row r="868" ht="16.5" customHeight="1" spans="1:16">
      <c r="A868" s="347" t="s">
        <v>792</v>
      </c>
      <c r="B868" s="348"/>
      <c r="C868" s="348"/>
      <c r="D868" s="349"/>
      <c r="E868" s="348"/>
      <c r="F868" s="345"/>
      <c r="G868" s="346"/>
      <c r="H868" s="348">
        <f>53981-2621-500</f>
        <v>50860</v>
      </c>
      <c r="I868" s="345"/>
      <c r="J868" s="349"/>
      <c r="K868" s="325"/>
      <c r="L868" s="325">
        <f t="shared" si="54"/>
        <v>50860</v>
      </c>
      <c r="M868" s="325"/>
      <c r="N868" s="363"/>
      <c r="O868" s="363"/>
      <c r="P868" s="364"/>
    </row>
    <row r="869" ht="16.5" customHeight="1" spans="1:16">
      <c r="A869" s="347" t="s">
        <v>793</v>
      </c>
      <c r="B869" s="348"/>
      <c r="C869" s="348">
        <v>0</v>
      </c>
      <c r="D869" s="349"/>
      <c r="E869" s="348"/>
      <c r="F869" s="345"/>
      <c r="G869" s="346"/>
      <c r="H869" s="348">
        <f>651+500</f>
        <v>1151</v>
      </c>
      <c r="I869" s="345"/>
      <c r="J869" s="349"/>
      <c r="K869" s="325"/>
      <c r="L869" s="325">
        <f t="shared" si="54"/>
        <v>1151</v>
      </c>
      <c r="M869" s="325"/>
      <c r="N869" s="363"/>
      <c r="O869" s="363"/>
      <c r="P869" s="364"/>
    </row>
    <row r="870" ht="16.5" hidden="1" customHeight="1" spans="1:16">
      <c r="A870" s="347" t="s">
        <v>794</v>
      </c>
      <c r="B870" s="348"/>
      <c r="C870" s="348">
        <v>0</v>
      </c>
      <c r="D870" s="349"/>
      <c r="E870" s="348"/>
      <c r="F870" s="345"/>
      <c r="G870" s="346"/>
      <c r="H870" s="348">
        <v>0</v>
      </c>
      <c r="I870" s="345"/>
      <c r="J870" s="349"/>
      <c r="K870" s="325"/>
      <c r="L870" s="325">
        <f t="shared" si="54"/>
        <v>0</v>
      </c>
      <c r="M870" s="325"/>
      <c r="N870" s="363"/>
      <c r="O870" s="363"/>
      <c r="P870" s="364"/>
    </row>
    <row r="871" ht="16.5" customHeight="1" spans="1:16">
      <c r="A871" s="347" t="s">
        <v>795</v>
      </c>
      <c r="B871" s="348"/>
      <c r="C871" s="348">
        <v>0</v>
      </c>
      <c r="D871" s="349"/>
      <c r="E871" s="348"/>
      <c r="F871" s="345"/>
      <c r="G871" s="346"/>
      <c r="H871" s="348">
        <v>2860</v>
      </c>
      <c r="I871" s="345"/>
      <c r="J871" s="349"/>
      <c r="K871" s="325"/>
      <c r="L871" s="325">
        <f t="shared" si="54"/>
        <v>2860</v>
      </c>
      <c r="M871" s="325"/>
      <c r="N871" s="363"/>
      <c r="O871" s="363"/>
      <c r="P871" s="364"/>
    </row>
    <row r="872" s="326" customFormat="1" ht="16.5" customHeight="1" spans="1:16">
      <c r="A872" s="347" t="s">
        <v>796</v>
      </c>
      <c r="B872" s="348"/>
      <c r="C872" s="348">
        <v>7</v>
      </c>
      <c r="D872" s="349"/>
      <c r="E872" s="348">
        <v>365</v>
      </c>
      <c r="F872" s="345">
        <f>C872-E872</f>
        <v>-358</v>
      </c>
      <c r="G872" s="346">
        <f>F872/E872*100</f>
        <v>-98.0821917808219</v>
      </c>
      <c r="H872" s="348">
        <f>SUM(H873:H874)</f>
        <v>0</v>
      </c>
      <c r="I872" s="345">
        <f>H872-B872</f>
        <v>0</v>
      </c>
      <c r="J872" s="349"/>
      <c r="K872" s="325"/>
      <c r="L872" s="325">
        <f t="shared" si="54"/>
        <v>-449.082191780822</v>
      </c>
      <c r="M872" s="325"/>
      <c r="N872" s="363"/>
      <c r="O872" s="363"/>
      <c r="P872" s="364"/>
    </row>
    <row r="873" ht="16.5" hidden="1" customHeight="1" spans="1:16">
      <c r="A873" s="347" t="s">
        <v>797</v>
      </c>
      <c r="B873" s="348"/>
      <c r="C873" s="348">
        <v>0</v>
      </c>
      <c r="D873" s="349"/>
      <c r="E873" s="348"/>
      <c r="F873" s="345"/>
      <c r="G873" s="346"/>
      <c r="H873" s="348"/>
      <c r="I873" s="345"/>
      <c r="J873" s="349"/>
      <c r="K873" s="325"/>
      <c r="L873" s="325">
        <f t="shared" si="54"/>
        <v>0</v>
      </c>
      <c r="M873" s="325"/>
      <c r="N873" s="363"/>
      <c r="O873" s="363"/>
      <c r="P873" s="364"/>
    </row>
    <row r="874" ht="16.5" hidden="1" customHeight="1" spans="1:16">
      <c r="A874" s="347" t="s">
        <v>798</v>
      </c>
      <c r="B874" s="348"/>
      <c r="C874" s="348">
        <v>0</v>
      </c>
      <c r="D874" s="349"/>
      <c r="E874" s="348"/>
      <c r="F874" s="345"/>
      <c r="G874" s="346"/>
      <c r="H874" s="348"/>
      <c r="I874" s="345"/>
      <c r="J874" s="349"/>
      <c r="K874" s="325"/>
      <c r="L874" s="325">
        <f t="shared" si="54"/>
        <v>0</v>
      </c>
      <c r="M874" s="325"/>
      <c r="N874" s="363"/>
      <c r="O874" s="363"/>
      <c r="P874" s="364"/>
    </row>
    <row r="875" s="326" customFormat="1" ht="16.5" customHeight="1" spans="1:16">
      <c r="A875" s="347" t="s">
        <v>799</v>
      </c>
      <c r="B875" s="348">
        <v>11261</v>
      </c>
      <c r="C875" s="348">
        <v>5077</v>
      </c>
      <c r="D875" s="349">
        <f>C875/B875*100</f>
        <v>45.0848059674984</v>
      </c>
      <c r="E875" s="348">
        <v>5506</v>
      </c>
      <c r="F875" s="345">
        <f>C875-E875</f>
        <v>-429</v>
      </c>
      <c r="G875" s="346">
        <f>F875/E875*100</f>
        <v>-7.79150018162005</v>
      </c>
      <c r="H875" s="348">
        <f>SUM(H876:H877)</f>
        <v>13143</v>
      </c>
      <c r="I875" s="345">
        <f>H875-B875</f>
        <v>1882</v>
      </c>
      <c r="J875" s="349">
        <f>I875/B875*100</f>
        <v>16.7125477311074</v>
      </c>
      <c r="K875" s="325"/>
      <c r="L875" s="325">
        <f t="shared" si="54"/>
        <v>30988.005853517</v>
      </c>
      <c r="M875" s="325"/>
      <c r="N875" s="363"/>
      <c r="O875" s="363"/>
      <c r="P875" s="364"/>
    </row>
    <row r="876" s="326" customFormat="1" ht="16.5" hidden="1" customHeight="1" spans="1:16381">
      <c r="A876" s="347" t="s">
        <v>800</v>
      </c>
      <c r="B876" s="348"/>
      <c r="C876" s="348">
        <v>0</v>
      </c>
      <c r="D876" s="349"/>
      <c r="E876" s="348"/>
      <c r="F876" s="345"/>
      <c r="G876" s="346"/>
      <c r="H876" s="348">
        <v>0</v>
      </c>
      <c r="I876" s="345"/>
      <c r="J876" s="349"/>
      <c r="K876" s="325"/>
      <c r="L876" s="325">
        <f t="shared" si="54"/>
        <v>0</v>
      </c>
      <c r="M876" s="325"/>
      <c r="N876" s="363"/>
      <c r="O876" s="363"/>
      <c r="P876" s="364"/>
      <c r="XEZ876" s="332"/>
      <c r="XFA876" s="332"/>
    </row>
    <row r="877" s="326" customFormat="1" ht="16.5" customHeight="1" spans="1:16381">
      <c r="A877" s="347" t="s">
        <v>801</v>
      </c>
      <c r="B877" s="348"/>
      <c r="C877" s="348"/>
      <c r="D877" s="349"/>
      <c r="E877" s="348"/>
      <c r="F877" s="345"/>
      <c r="G877" s="346"/>
      <c r="H877" s="348">
        <f>10522+2621</f>
        <v>13143</v>
      </c>
      <c r="I877" s="345"/>
      <c r="J877" s="349"/>
      <c r="K877" s="325"/>
      <c r="L877" s="325">
        <f t="shared" si="54"/>
        <v>13143</v>
      </c>
      <c r="M877" s="325"/>
      <c r="N877" s="363"/>
      <c r="O877" s="363"/>
      <c r="P877" s="364"/>
      <c r="XEZ877" s="332"/>
      <c r="XFA877" s="332"/>
    </row>
    <row r="878" s="325" customFormat="1" ht="16.5" customHeight="1" spans="1:16">
      <c r="A878" s="344" t="s">
        <v>802</v>
      </c>
      <c r="B878" s="345">
        <f>B879+B900+B910+B920+B927</f>
        <v>41189</v>
      </c>
      <c r="C878" s="345">
        <f>C879+C900+C910+C920+C927</f>
        <v>52408</v>
      </c>
      <c r="D878" s="349">
        <f>C878/B878*100</f>
        <v>127.237854767049</v>
      </c>
      <c r="E878" s="345">
        <f>E879+E900+E910+E920+E927</f>
        <v>63524</v>
      </c>
      <c r="F878" s="345">
        <f>C878-E878</f>
        <v>-11116</v>
      </c>
      <c r="G878" s="346">
        <f>F878/E878*100</f>
        <v>-17.4988980542787</v>
      </c>
      <c r="H878" s="345">
        <f>H879+H900+H910+H920+H927</f>
        <v>44877.779321</v>
      </c>
      <c r="I878" s="345">
        <f>H878-B878</f>
        <v>3688.77932099999</v>
      </c>
      <c r="J878" s="349">
        <f>I878/B878*100</f>
        <v>8.95573896185874</v>
      </c>
      <c r="L878" s="325">
        <f t="shared" si="54"/>
        <v>131166.253337675</v>
      </c>
      <c r="N878" s="362"/>
      <c r="O878" s="362"/>
      <c r="P878" s="364"/>
    </row>
    <row r="879" s="326" customFormat="1" ht="16.5" customHeight="1" spans="1:16">
      <c r="A879" s="347" t="s">
        <v>803</v>
      </c>
      <c r="B879" s="348">
        <v>34610</v>
      </c>
      <c r="C879" s="348">
        <v>45943</v>
      </c>
      <c r="D879" s="349">
        <f>C879/B879*100</f>
        <v>132.744871424444</v>
      </c>
      <c r="E879" s="348">
        <v>50144</v>
      </c>
      <c r="F879" s="345">
        <f>C879-E879</f>
        <v>-4201</v>
      </c>
      <c r="G879" s="346">
        <f>F879/E879*100</f>
        <v>-8.37787172941927</v>
      </c>
      <c r="H879" s="348">
        <f>SUM(H880:H899)</f>
        <v>38459.399321</v>
      </c>
      <c r="I879" s="345">
        <f>H879-B879</f>
        <v>3849.399321</v>
      </c>
      <c r="J879" s="349">
        <f>I879/B879*100</f>
        <v>11.1222170499855</v>
      </c>
      <c r="K879" s="325"/>
      <c r="L879" s="325">
        <f t="shared" si="54"/>
        <v>118796.287858745</v>
      </c>
      <c r="M879" s="325"/>
      <c r="N879" s="363"/>
      <c r="O879" s="363"/>
      <c r="P879" s="364"/>
    </row>
    <row r="880" ht="16.5" customHeight="1" spans="1:16">
      <c r="A880" s="365" t="s">
        <v>155</v>
      </c>
      <c r="B880" s="348"/>
      <c r="C880" s="348"/>
      <c r="D880" s="349"/>
      <c r="E880" s="348"/>
      <c r="F880" s="345"/>
      <c r="G880" s="346"/>
      <c r="H880" s="348">
        <f>4888.022216-2000-200</f>
        <v>2688.022216</v>
      </c>
      <c r="I880" s="345"/>
      <c r="J880" s="349"/>
      <c r="K880" s="325"/>
      <c r="L880" s="325">
        <f t="shared" si="54"/>
        <v>2688.022216</v>
      </c>
      <c r="M880" s="325"/>
      <c r="N880" s="363"/>
      <c r="O880" s="363"/>
      <c r="P880" s="364"/>
    </row>
    <row r="881" ht="16.5" customHeight="1" spans="1:16">
      <c r="A881" s="347" t="s">
        <v>156</v>
      </c>
      <c r="B881" s="348"/>
      <c r="C881" s="348"/>
      <c r="D881" s="349"/>
      <c r="E881" s="348"/>
      <c r="F881" s="345"/>
      <c r="G881" s="346"/>
      <c r="H881" s="348">
        <v>1500</v>
      </c>
      <c r="I881" s="345"/>
      <c r="J881" s="349"/>
      <c r="K881" s="325"/>
      <c r="L881" s="325">
        <f t="shared" si="54"/>
        <v>1500</v>
      </c>
      <c r="M881" s="325"/>
      <c r="N881" s="363"/>
      <c r="O881" s="363"/>
      <c r="P881" s="364"/>
    </row>
    <row r="882" ht="16.5" customHeight="1" spans="1:16">
      <c r="A882" s="365" t="s">
        <v>157</v>
      </c>
      <c r="B882" s="348"/>
      <c r="C882" s="348"/>
      <c r="D882" s="349"/>
      <c r="E882" s="348"/>
      <c r="F882" s="345"/>
      <c r="G882" s="346"/>
      <c r="H882" s="348">
        <v>395</v>
      </c>
      <c r="I882" s="345"/>
      <c r="J882" s="349"/>
      <c r="K882" s="325"/>
      <c r="L882" s="325">
        <f t="shared" si="54"/>
        <v>395</v>
      </c>
      <c r="M882" s="325"/>
      <c r="N882" s="363"/>
      <c r="O882" s="363"/>
      <c r="P882" s="364"/>
    </row>
    <row r="883" ht="16.5" customHeight="1" spans="1:16">
      <c r="A883" s="365" t="s">
        <v>804</v>
      </c>
      <c r="B883" s="348"/>
      <c r="C883" s="348"/>
      <c r="D883" s="349"/>
      <c r="E883" s="348"/>
      <c r="F883" s="345"/>
      <c r="G883" s="346"/>
      <c r="H883" s="348">
        <f>11566+9200</f>
        <v>20766</v>
      </c>
      <c r="I883" s="345"/>
      <c r="J883" s="349"/>
      <c r="K883" s="325"/>
      <c r="L883" s="325">
        <f t="shared" si="54"/>
        <v>20766</v>
      </c>
      <c r="M883" s="325"/>
      <c r="N883" s="363"/>
      <c r="O883" s="363"/>
      <c r="P883" s="364"/>
    </row>
    <row r="884" ht="16.5" customHeight="1" spans="1:16">
      <c r="A884" s="365" t="s">
        <v>805</v>
      </c>
      <c r="B884" s="348"/>
      <c r="C884" s="348"/>
      <c r="D884" s="349"/>
      <c r="E884" s="348"/>
      <c r="F884" s="345"/>
      <c r="G884" s="346"/>
      <c r="H884" s="348">
        <f>11496.147265-5000</f>
        <v>6496.147265</v>
      </c>
      <c r="I884" s="345"/>
      <c r="J884" s="349"/>
      <c r="K884" s="325"/>
      <c r="L884" s="325">
        <f t="shared" si="54"/>
        <v>6496.147265</v>
      </c>
      <c r="M884" s="325"/>
      <c r="N884" s="363"/>
      <c r="O884" s="363"/>
      <c r="P884" s="364"/>
    </row>
    <row r="885" ht="16.5" hidden="1" customHeight="1" spans="1:16">
      <c r="A885" s="365" t="s">
        <v>806</v>
      </c>
      <c r="B885" s="348"/>
      <c r="C885" s="348"/>
      <c r="D885" s="349"/>
      <c r="E885" s="348"/>
      <c r="F885" s="345"/>
      <c r="G885" s="346"/>
      <c r="H885" s="348">
        <v>0</v>
      </c>
      <c r="I885" s="345"/>
      <c r="J885" s="349"/>
      <c r="K885" s="325"/>
      <c r="L885" s="325">
        <f t="shared" si="54"/>
        <v>0</v>
      </c>
      <c r="M885" s="325"/>
      <c r="N885" s="363"/>
      <c r="O885" s="363"/>
      <c r="P885" s="364"/>
    </row>
    <row r="886" ht="16.5" hidden="1" customHeight="1" spans="1:16">
      <c r="A886" s="365" t="s">
        <v>807</v>
      </c>
      <c r="B886" s="348"/>
      <c r="C886" s="348"/>
      <c r="D886" s="349"/>
      <c r="E886" s="348"/>
      <c r="F886" s="345"/>
      <c r="G886" s="346"/>
      <c r="H886" s="348">
        <v>0</v>
      </c>
      <c r="I886" s="345"/>
      <c r="J886" s="349"/>
      <c r="K886" s="325"/>
      <c r="L886" s="325">
        <f t="shared" si="54"/>
        <v>0</v>
      </c>
      <c r="M886" s="325"/>
      <c r="N886" s="363"/>
      <c r="O886" s="363"/>
      <c r="P886" s="364"/>
    </row>
    <row r="887" ht="16.5" customHeight="1" spans="1:16">
      <c r="A887" s="365" t="s">
        <v>808</v>
      </c>
      <c r="B887" s="348"/>
      <c r="C887" s="348"/>
      <c r="D887" s="349"/>
      <c r="E887" s="348"/>
      <c r="F887" s="345"/>
      <c r="G887" s="346"/>
      <c r="H887" s="348">
        <v>2518.645616</v>
      </c>
      <c r="I887" s="345"/>
      <c r="J887" s="349"/>
      <c r="K887" s="325"/>
      <c r="L887" s="325">
        <f t="shared" si="54"/>
        <v>2518.645616</v>
      </c>
      <c r="M887" s="325"/>
      <c r="N887" s="363"/>
      <c r="O887" s="363"/>
      <c r="P887" s="364"/>
    </row>
    <row r="888" ht="16.5" hidden="1" customHeight="1" spans="1:16">
      <c r="A888" s="365" t="s">
        <v>809</v>
      </c>
      <c r="B888" s="348"/>
      <c r="C888" s="348"/>
      <c r="D888" s="349"/>
      <c r="E888" s="348"/>
      <c r="F888" s="345"/>
      <c r="G888" s="346"/>
      <c r="H888" s="348">
        <v>0</v>
      </c>
      <c r="I888" s="345"/>
      <c r="J888" s="349"/>
      <c r="K888" s="325"/>
      <c r="L888" s="325">
        <f t="shared" si="54"/>
        <v>0</v>
      </c>
      <c r="M888" s="325"/>
      <c r="N888" s="363"/>
      <c r="O888" s="363"/>
      <c r="P888" s="364"/>
    </row>
    <row r="889" ht="16.5" customHeight="1" spans="1:16">
      <c r="A889" s="365" t="s">
        <v>810</v>
      </c>
      <c r="B889" s="348"/>
      <c r="C889" s="348"/>
      <c r="D889" s="349"/>
      <c r="E889" s="348"/>
      <c r="F889" s="345"/>
      <c r="G889" s="346"/>
      <c r="H889" s="348">
        <v>10</v>
      </c>
      <c r="I889" s="345"/>
      <c r="J889" s="349"/>
      <c r="K889" s="325"/>
      <c r="L889" s="325">
        <f t="shared" si="54"/>
        <v>10</v>
      </c>
      <c r="M889" s="325"/>
      <c r="N889" s="363"/>
      <c r="O889" s="363"/>
      <c r="P889" s="364"/>
    </row>
    <row r="890" ht="16.5" hidden="1" customHeight="1" spans="1:16">
      <c r="A890" s="365" t="s">
        <v>811</v>
      </c>
      <c r="B890" s="348"/>
      <c r="C890" s="348"/>
      <c r="D890" s="349"/>
      <c r="E890" s="348"/>
      <c r="F890" s="345"/>
      <c r="G890" s="346"/>
      <c r="H890" s="348">
        <v>0</v>
      </c>
      <c r="I890" s="345"/>
      <c r="J890" s="349"/>
      <c r="K890" s="325"/>
      <c r="L890" s="325">
        <f t="shared" si="54"/>
        <v>0</v>
      </c>
      <c r="M890" s="325"/>
      <c r="N890" s="363"/>
      <c r="O890" s="363"/>
      <c r="P890" s="364"/>
    </row>
    <row r="891" ht="16.5" hidden="1" customHeight="1" spans="1:16">
      <c r="A891" s="365" t="s">
        <v>812</v>
      </c>
      <c r="B891" s="348"/>
      <c r="C891" s="348"/>
      <c r="D891" s="349"/>
      <c r="E891" s="348"/>
      <c r="F891" s="345"/>
      <c r="G891" s="346"/>
      <c r="H891" s="348">
        <v>0</v>
      </c>
      <c r="I891" s="345"/>
      <c r="J891" s="349"/>
      <c r="K891" s="325"/>
      <c r="L891" s="325">
        <f t="shared" si="54"/>
        <v>0</v>
      </c>
      <c r="M891" s="325"/>
      <c r="N891" s="363"/>
      <c r="O891" s="363"/>
      <c r="P891" s="364"/>
    </row>
    <row r="892" ht="16.5" hidden="1" customHeight="1" spans="1:16">
      <c r="A892" s="365" t="s">
        <v>813</v>
      </c>
      <c r="B892" s="348"/>
      <c r="C892" s="348"/>
      <c r="D892" s="349"/>
      <c r="E892" s="348"/>
      <c r="F892" s="345"/>
      <c r="G892" s="346"/>
      <c r="H892" s="348">
        <v>0</v>
      </c>
      <c r="I892" s="345"/>
      <c r="J892" s="349"/>
      <c r="K892" s="325"/>
      <c r="L892" s="325">
        <f t="shared" si="54"/>
        <v>0</v>
      </c>
      <c r="M892" s="325"/>
      <c r="N892" s="363"/>
      <c r="O892" s="363"/>
      <c r="P892" s="364"/>
    </row>
    <row r="893" ht="16.5" customHeight="1" spans="1:16">
      <c r="A893" s="365" t="s">
        <v>814</v>
      </c>
      <c r="B893" s="348"/>
      <c r="C893" s="348"/>
      <c r="D893" s="349"/>
      <c r="E893" s="348"/>
      <c r="F893" s="345"/>
      <c r="G893" s="346"/>
      <c r="H893" s="348">
        <v>20</v>
      </c>
      <c r="I893" s="345"/>
      <c r="J893" s="349"/>
      <c r="K893" s="325"/>
      <c r="L893" s="325">
        <f t="shared" si="54"/>
        <v>20</v>
      </c>
      <c r="M893" s="325"/>
      <c r="N893" s="363"/>
      <c r="O893" s="363"/>
      <c r="P893" s="364"/>
    </row>
    <row r="894" ht="16.5" hidden="1" customHeight="1" spans="1:16">
      <c r="A894" s="365" t="s">
        <v>815</v>
      </c>
      <c r="B894" s="348"/>
      <c r="C894" s="348"/>
      <c r="D894" s="349"/>
      <c r="E894" s="348"/>
      <c r="F894" s="345"/>
      <c r="G894" s="346"/>
      <c r="H894" s="348">
        <v>0</v>
      </c>
      <c r="I894" s="345"/>
      <c r="J894" s="349"/>
      <c r="K894" s="325"/>
      <c r="L894" s="325">
        <f t="shared" si="54"/>
        <v>0</v>
      </c>
      <c r="M894" s="325"/>
      <c r="N894" s="363"/>
      <c r="O894" s="363"/>
      <c r="P894" s="364"/>
    </row>
    <row r="895" ht="16.5" hidden="1" customHeight="1" spans="1:16">
      <c r="A895" s="365" t="s">
        <v>816</v>
      </c>
      <c r="B895" s="348"/>
      <c r="C895" s="348"/>
      <c r="D895" s="349"/>
      <c r="E895" s="348"/>
      <c r="F895" s="345"/>
      <c r="G895" s="346"/>
      <c r="H895" s="348">
        <v>0</v>
      </c>
      <c r="I895" s="345"/>
      <c r="J895" s="349"/>
      <c r="K895" s="325"/>
      <c r="L895" s="325">
        <f t="shared" si="54"/>
        <v>0</v>
      </c>
      <c r="M895" s="325"/>
      <c r="N895" s="363"/>
      <c r="O895" s="363"/>
      <c r="P895" s="364"/>
    </row>
    <row r="896" ht="16.5" hidden="1" customHeight="1" spans="1:16">
      <c r="A896" s="365" t="s">
        <v>817</v>
      </c>
      <c r="B896" s="348"/>
      <c r="C896" s="348"/>
      <c r="D896" s="349"/>
      <c r="E896" s="348"/>
      <c r="F896" s="345"/>
      <c r="G896" s="346"/>
      <c r="H896" s="348">
        <v>0</v>
      </c>
      <c r="I896" s="345"/>
      <c r="J896" s="349"/>
      <c r="K896" s="325"/>
      <c r="L896" s="325">
        <f t="shared" si="54"/>
        <v>0</v>
      </c>
      <c r="M896" s="325"/>
      <c r="N896" s="363"/>
      <c r="O896" s="363"/>
      <c r="P896" s="364"/>
    </row>
    <row r="897" ht="16.5" customHeight="1" spans="1:16">
      <c r="A897" s="347" t="s">
        <v>818</v>
      </c>
      <c r="B897" s="348"/>
      <c r="C897" s="348"/>
      <c r="D897" s="349"/>
      <c r="E897" s="348"/>
      <c r="F897" s="345"/>
      <c r="G897" s="346"/>
      <c r="H897" s="348">
        <v>549.675102</v>
      </c>
      <c r="I897" s="345"/>
      <c r="J897" s="349"/>
      <c r="K897" s="325"/>
      <c r="L897" s="325">
        <f t="shared" si="54"/>
        <v>549.675102</v>
      </c>
      <c r="M897" s="325"/>
      <c r="N897" s="363"/>
      <c r="O897" s="363"/>
      <c r="P897" s="364"/>
    </row>
    <row r="898" ht="16.5" hidden="1" customHeight="1" spans="1:16">
      <c r="A898" s="347" t="s">
        <v>819</v>
      </c>
      <c r="B898" s="348"/>
      <c r="C898" s="348"/>
      <c r="D898" s="349"/>
      <c r="E898" s="348"/>
      <c r="F898" s="345"/>
      <c r="G898" s="346"/>
      <c r="H898" s="348">
        <v>0</v>
      </c>
      <c r="I898" s="345"/>
      <c r="J898" s="349"/>
      <c r="K898" s="325"/>
      <c r="L898" s="325">
        <f t="shared" si="54"/>
        <v>0</v>
      </c>
      <c r="M898" s="325"/>
      <c r="N898" s="363"/>
      <c r="O898" s="363"/>
      <c r="P898" s="364"/>
    </row>
    <row r="899" ht="16.5" customHeight="1" spans="1:16">
      <c r="A899" s="347" t="s">
        <v>820</v>
      </c>
      <c r="B899" s="348"/>
      <c r="C899" s="348"/>
      <c r="D899" s="349"/>
      <c r="E899" s="348"/>
      <c r="F899" s="345"/>
      <c r="G899" s="346"/>
      <c r="H899" s="348">
        <f>5515.909122-2000</f>
        <v>3515.909122</v>
      </c>
      <c r="I899" s="345"/>
      <c r="J899" s="349"/>
      <c r="K899" s="325"/>
      <c r="L899" s="325">
        <f t="shared" si="54"/>
        <v>3515.909122</v>
      </c>
      <c r="M899" s="325"/>
      <c r="N899" s="363"/>
      <c r="O899" s="363"/>
      <c r="P899" s="364"/>
    </row>
    <row r="900" s="326" customFormat="1" ht="16.5" customHeight="1" spans="1:16">
      <c r="A900" s="347" t="s">
        <v>821</v>
      </c>
      <c r="B900" s="348">
        <v>85</v>
      </c>
      <c r="C900" s="348">
        <v>432</v>
      </c>
      <c r="D900" s="349">
        <f>C900/B900*100</f>
        <v>508.235294117647</v>
      </c>
      <c r="E900" s="348">
        <v>3188</v>
      </c>
      <c r="F900" s="345">
        <f>C900-E900</f>
        <v>-2756</v>
      </c>
      <c r="G900" s="346"/>
      <c r="H900" s="348">
        <f>SUM(H901:H909)</f>
        <v>85</v>
      </c>
      <c r="I900" s="345">
        <f>H900-B900</f>
        <v>0</v>
      </c>
      <c r="J900" s="349">
        <f>I900/B900*100</f>
        <v>0</v>
      </c>
      <c r="K900" s="325"/>
      <c r="L900" s="325">
        <f t="shared" si="54"/>
        <v>-1645.76470588235</v>
      </c>
      <c r="M900" s="325"/>
      <c r="N900" s="363"/>
      <c r="O900" s="363"/>
      <c r="P900" s="364"/>
    </row>
    <row r="901" ht="16.5" hidden="1" customHeight="1" spans="1:16">
      <c r="A901" s="365" t="s">
        <v>155</v>
      </c>
      <c r="B901" s="348"/>
      <c r="C901" s="348">
        <v>0</v>
      </c>
      <c r="D901" s="349"/>
      <c r="E901" s="348"/>
      <c r="F901" s="345"/>
      <c r="G901" s="346"/>
      <c r="H901" s="348">
        <v>0</v>
      </c>
      <c r="I901" s="345"/>
      <c r="J901" s="349"/>
      <c r="K901" s="325"/>
      <c r="L901" s="325">
        <f t="shared" si="54"/>
        <v>0</v>
      </c>
      <c r="M901" s="325"/>
      <c r="N901" s="363"/>
      <c r="O901" s="363"/>
      <c r="P901" s="364"/>
    </row>
    <row r="902" ht="16.5" hidden="1" customHeight="1" spans="1:16">
      <c r="A902" s="347" t="s">
        <v>156</v>
      </c>
      <c r="B902" s="348"/>
      <c r="C902" s="348">
        <v>0</v>
      </c>
      <c r="D902" s="349"/>
      <c r="E902" s="348"/>
      <c r="F902" s="345"/>
      <c r="G902" s="346"/>
      <c r="H902" s="348">
        <v>0</v>
      </c>
      <c r="I902" s="345"/>
      <c r="J902" s="349"/>
      <c r="K902" s="325"/>
      <c r="L902" s="325">
        <f t="shared" si="54"/>
        <v>0</v>
      </c>
      <c r="M902" s="325"/>
      <c r="N902" s="363"/>
      <c r="O902" s="363"/>
      <c r="P902" s="364"/>
    </row>
    <row r="903" ht="16.5" hidden="1" customHeight="1" spans="1:16">
      <c r="A903" s="365" t="s">
        <v>157</v>
      </c>
      <c r="B903" s="348"/>
      <c r="C903" s="348">
        <v>0</v>
      </c>
      <c r="D903" s="349"/>
      <c r="E903" s="348"/>
      <c r="F903" s="345"/>
      <c r="G903" s="346"/>
      <c r="H903" s="348">
        <v>0</v>
      </c>
      <c r="I903" s="345"/>
      <c r="J903" s="349"/>
      <c r="K903" s="325"/>
      <c r="L903" s="325">
        <f t="shared" si="54"/>
        <v>0</v>
      </c>
      <c r="M903" s="325"/>
      <c r="N903" s="363"/>
      <c r="O903" s="363"/>
      <c r="P903" s="364"/>
    </row>
    <row r="904" ht="16.5" hidden="1" customHeight="1" spans="1:16">
      <c r="A904" s="347" t="s">
        <v>822</v>
      </c>
      <c r="B904" s="348"/>
      <c r="C904" s="348">
        <v>0</v>
      </c>
      <c r="D904" s="349"/>
      <c r="E904" s="348"/>
      <c r="F904" s="345"/>
      <c r="G904" s="346"/>
      <c r="H904" s="348">
        <v>0</v>
      </c>
      <c r="I904" s="345"/>
      <c r="J904" s="349"/>
      <c r="K904" s="325"/>
      <c r="L904" s="325">
        <f t="shared" ref="L904:L967" si="55">B904+C904+D904+F904+G904+H904+I904+J904</f>
        <v>0</v>
      </c>
      <c r="M904" s="325"/>
      <c r="N904" s="363"/>
      <c r="O904" s="363"/>
      <c r="P904" s="364"/>
    </row>
    <row r="905" ht="16.5" hidden="1" customHeight="1" spans="1:16">
      <c r="A905" s="347" t="s">
        <v>823</v>
      </c>
      <c r="B905" s="348"/>
      <c r="C905" s="348">
        <v>0</v>
      </c>
      <c r="D905" s="349"/>
      <c r="E905" s="348"/>
      <c r="F905" s="345"/>
      <c r="G905" s="346"/>
      <c r="H905" s="348">
        <v>0</v>
      </c>
      <c r="I905" s="345"/>
      <c r="J905" s="349"/>
      <c r="K905" s="325"/>
      <c r="L905" s="325">
        <f t="shared" si="55"/>
        <v>0</v>
      </c>
      <c r="M905" s="325"/>
      <c r="N905" s="363"/>
      <c r="O905" s="363"/>
      <c r="P905" s="364"/>
    </row>
    <row r="906" ht="16.5" hidden="1" customHeight="1" spans="1:16">
      <c r="A906" s="347" t="s">
        <v>824</v>
      </c>
      <c r="B906" s="348"/>
      <c r="C906" s="348">
        <v>0</v>
      </c>
      <c r="D906" s="349"/>
      <c r="E906" s="348"/>
      <c r="F906" s="345"/>
      <c r="G906" s="346"/>
      <c r="H906" s="348">
        <v>0</v>
      </c>
      <c r="I906" s="345"/>
      <c r="J906" s="349"/>
      <c r="K906" s="325"/>
      <c r="L906" s="325">
        <f t="shared" si="55"/>
        <v>0</v>
      </c>
      <c r="M906" s="325"/>
      <c r="N906" s="363"/>
      <c r="O906" s="363"/>
      <c r="P906" s="364"/>
    </row>
    <row r="907" ht="16.5" hidden="1" customHeight="1" spans="1:16">
      <c r="A907" s="347" t="s">
        <v>825</v>
      </c>
      <c r="B907" s="348"/>
      <c r="C907" s="348">
        <v>0</v>
      </c>
      <c r="D907" s="349"/>
      <c r="E907" s="348"/>
      <c r="F907" s="345"/>
      <c r="G907" s="346"/>
      <c r="H907" s="348">
        <v>0</v>
      </c>
      <c r="I907" s="345"/>
      <c r="J907" s="349"/>
      <c r="K907" s="325"/>
      <c r="L907" s="325">
        <f t="shared" si="55"/>
        <v>0</v>
      </c>
      <c r="M907" s="325"/>
      <c r="N907" s="363"/>
      <c r="O907" s="363"/>
      <c r="P907" s="364"/>
    </row>
    <row r="908" ht="16.5" hidden="1" customHeight="1" spans="1:16">
      <c r="A908" s="347" t="s">
        <v>826</v>
      </c>
      <c r="B908" s="348"/>
      <c r="C908" s="348">
        <v>0</v>
      </c>
      <c r="D908" s="349"/>
      <c r="E908" s="348"/>
      <c r="F908" s="345"/>
      <c r="G908" s="346"/>
      <c r="H908" s="348">
        <v>0</v>
      </c>
      <c r="I908" s="345"/>
      <c r="J908" s="349"/>
      <c r="K908" s="325"/>
      <c r="L908" s="325">
        <f t="shared" si="55"/>
        <v>0</v>
      </c>
      <c r="M908" s="325"/>
      <c r="N908" s="363"/>
      <c r="O908" s="363"/>
      <c r="P908" s="364"/>
    </row>
    <row r="909" ht="16.5" customHeight="1" spans="1:16">
      <c r="A909" s="347" t="s">
        <v>827</v>
      </c>
      <c r="B909" s="348"/>
      <c r="C909" s="348">
        <v>0</v>
      </c>
      <c r="D909" s="349"/>
      <c r="E909" s="348"/>
      <c r="F909" s="345"/>
      <c r="G909" s="346"/>
      <c r="H909" s="348">
        <v>85</v>
      </c>
      <c r="I909" s="345"/>
      <c r="J909" s="349"/>
      <c r="K909" s="325"/>
      <c r="L909" s="325">
        <f t="shared" si="55"/>
        <v>85</v>
      </c>
      <c r="M909" s="325"/>
      <c r="N909" s="363"/>
      <c r="O909" s="363"/>
      <c r="P909" s="364"/>
    </row>
    <row r="910" s="326" customFormat="1" ht="16.5" customHeight="1" spans="1:16">
      <c r="A910" s="347" t="s">
        <v>828</v>
      </c>
      <c r="B910" s="348">
        <v>200</v>
      </c>
      <c r="C910" s="348">
        <v>1764</v>
      </c>
      <c r="D910" s="349">
        <f>C910/B910*100</f>
        <v>882</v>
      </c>
      <c r="E910" s="348">
        <v>5273</v>
      </c>
      <c r="F910" s="345">
        <f>C910-E910</f>
        <v>-3509</v>
      </c>
      <c r="G910" s="346">
        <f>F910/E910*100</f>
        <v>-66.5465579366584</v>
      </c>
      <c r="H910" s="348">
        <f>SUM(H911:H919)</f>
        <v>200</v>
      </c>
      <c r="I910" s="345">
        <f>H910-B910</f>
        <v>0</v>
      </c>
      <c r="J910" s="349">
        <f>I910/B910*100</f>
        <v>0</v>
      </c>
      <c r="K910" s="325"/>
      <c r="L910" s="325">
        <f t="shared" si="55"/>
        <v>-529.546557936658</v>
      </c>
      <c r="M910" s="325"/>
      <c r="N910" s="363"/>
      <c r="O910" s="363"/>
      <c r="P910" s="364"/>
    </row>
    <row r="911" ht="16.5" hidden="1" customHeight="1" spans="1:16">
      <c r="A911" s="365" t="s">
        <v>155</v>
      </c>
      <c r="B911" s="348"/>
      <c r="C911" s="348">
        <v>0</v>
      </c>
      <c r="D911" s="349"/>
      <c r="E911" s="348"/>
      <c r="F911" s="345"/>
      <c r="G911" s="346"/>
      <c r="H911" s="348">
        <v>0</v>
      </c>
      <c r="I911" s="345"/>
      <c r="J911" s="349"/>
      <c r="K911" s="325"/>
      <c r="L911" s="325">
        <f t="shared" si="55"/>
        <v>0</v>
      </c>
      <c r="M911" s="325"/>
      <c r="N911" s="363"/>
      <c r="O911" s="363"/>
      <c r="P911" s="364"/>
    </row>
    <row r="912" ht="16.5" hidden="1" customHeight="1" spans="1:16">
      <c r="A912" s="347" t="s">
        <v>156</v>
      </c>
      <c r="B912" s="348"/>
      <c r="C912" s="348">
        <v>0</v>
      </c>
      <c r="D912" s="349"/>
      <c r="E912" s="348"/>
      <c r="F912" s="345"/>
      <c r="G912" s="346"/>
      <c r="H912" s="348">
        <v>0</v>
      </c>
      <c r="I912" s="345"/>
      <c r="J912" s="349"/>
      <c r="K912" s="325"/>
      <c r="L912" s="325">
        <f t="shared" si="55"/>
        <v>0</v>
      </c>
      <c r="M912" s="325"/>
      <c r="N912" s="363"/>
      <c r="O912" s="363"/>
      <c r="P912" s="364"/>
    </row>
    <row r="913" ht="16.5" hidden="1" customHeight="1" spans="1:16">
      <c r="A913" s="365" t="s">
        <v>157</v>
      </c>
      <c r="B913" s="348"/>
      <c r="C913" s="348">
        <v>0</v>
      </c>
      <c r="D913" s="349"/>
      <c r="E913" s="348"/>
      <c r="F913" s="345"/>
      <c r="G913" s="346"/>
      <c r="H913" s="348">
        <v>0</v>
      </c>
      <c r="I913" s="345"/>
      <c r="J913" s="349"/>
      <c r="K913" s="325"/>
      <c r="L913" s="325">
        <f t="shared" si="55"/>
        <v>0</v>
      </c>
      <c r="M913" s="325"/>
      <c r="N913" s="363"/>
      <c r="O913" s="363"/>
      <c r="P913" s="364"/>
    </row>
    <row r="914" ht="16.5" customHeight="1" spans="1:16">
      <c r="A914" s="347" t="s">
        <v>829</v>
      </c>
      <c r="B914" s="348"/>
      <c r="C914" s="348">
        <v>0</v>
      </c>
      <c r="D914" s="349"/>
      <c r="E914" s="348"/>
      <c r="F914" s="345"/>
      <c r="G914" s="346"/>
      <c r="H914" s="348">
        <v>200</v>
      </c>
      <c r="I914" s="345"/>
      <c r="J914" s="349"/>
      <c r="K914" s="325"/>
      <c r="L914" s="325">
        <f t="shared" si="55"/>
        <v>200</v>
      </c>
      <c r="M914" s="325"/>
      <c r="N914" s="363"/>
      <c r="O914" s="363"/>
      <c r="P914" s="364"/>
    </row>
    <row r="915" ht="16.5" hidden="1" customHeight="1" spans="1:16">
      <c r="A915" s="347" t="s">
        <v>830</v>
      </c>
      <c r="B915" s="348"/>
      <c r="C915" s="348">
        <v>0</v>
      </c>
      <c r="D915" s="349"/>
      <c r="E915" s="348"/>
      <c r="F915" s="345"/>
      <c r="G915" s="346"/>
      <c r="H915" s="348">
        <v>0</v>
      </c>
      <c r="I915" s="345"/>
      <c r="J915" s="349"/>
      <c r="K915" s="325"/>
      <c r="L915" s="325">
        <f t="shared" si="55"/>
        <v>0</v>
      </c>
      <c r="M915" s="325"/>
      <c r="N915" s="363"/>
      <c r="O915" s="363"/>
      <c r="P915" s="364"/>
    </row>
    <row r="916" ht="16.5" hidden="1" customHeight="1" spans="1:16">
      <c r="A916" s="347" t="s">
        <v>831</v>
      </c>
      <c r="B916" s="348"/>
      <c r="C916" s="348">
        <v>0</v>
      </c>
      <c r="D916" s="349"/>
      <c r="E916" s="348"/>
      <c r="F916" s="345"/>
      <c r="G916" s="346"/>
      <c r="H916" s="348">
        <v>0</v>
      </c>
      <c r="I916" s="345"/>
      <c r="J916" s="349"/>
      <c r="K916" s="325"/>
      <c r="L916" s="325">
        <f t="shared" si="55"/>
        <v>0</v>
      </c>
      <c r="M916" s="325"/>
      <c r="N916" s="363"/>
      <c r="O916" s="363"/>
      <c r="P916" s="364"/>
    </row>
    <row r="917" ht="16.5" hidden="1" customHeight="1" spans="1:16">
      <c r="A917" s="347" t="s">
        <v>832</v>
      </c>
      <c r="B917" s="348"/>
      <c r="C917" s="348">
        <v>0</v>
      </c>
      <c r="D917" s="349"/>
      <c r="E917" s="348"/>
      <c r="F917" s="345"/>
      <c r="G917" s="346"/>
      <c r="H917" s="348">
        <v>0</v>
      </c>
      <c r="I917" s="345"/>
      <c r="J917" s="349"/>
      <c r="K917" s="325"/>
      <c r="L917" s="325">
        <f t="shared" si="55"/>
        <v>0</v>
      </c>
      <c r="M917" s="325"/>
      <c r="N917" s="363"/>
      <c r="O917" s="363"/>
      <c r="P917" s="364"/>
    </row>
    <row r="918" ht="16.5" hidden="1" customHeight="1" spans="1:16">
      <c r="A918" s="347" t="s">
        <v>833</v>
      </c>
      <c r="B918" s="348"/>
      <c r="C918" s="348">
        <v>0</v>
      </c>
      <c r="D918" s="349"/>
      <c r="E918" s="348"/>
      <c r="F918" s="345"/>
      <c r="G918" s="346"/>
      <c r="H918" s="348">
        <v>0</v>
      </c>
      <c r="I918" s="345"/>
      <c r="J918" s="349"/>
      <c r="K918" s="325"/>
      <c r="L918" s="325">
        <f t="shared" si="55"/>
        <v>0</v>
      </c>
      <c r="M918" s="325"/>
      <c r="N918" s="363"/>
      <c r="O918" s="363"/>
      <c r="P918" s="364"/>
    </row>
    <row r="919" ht="16.5" hidden="1" customHeight="1" spans="1:16">
      <c r="A919" s="347" t="s">
        <v>834</v>
      </c>
      <c r="B919" s="348"/>
      <c r="C919" s="348">
        <v>0</v>
      </c>
      <c r="D919" s="349"/>
      <c r="E919" s="348"/>
      <c r="F919" s="345"/>
      <c r="G919" s="346"/>
      <c r="H919" s="348">
        <v>0</v>
      </c>
      <c r="I919" s="345"/>
      <c r="J919" s="349"/>
      <c r="K919" s="325"/>
      <c r="L919" s="325">
        <f t="shared" si="55"/>
        <v>0</v>
      </c>
      <c r="M919" s="325"/>
      <c r="N919" s="363"/>
      <c r="O919" s="363"/>
      <c r="P919" s="364"/>
    </row>
    <row r="920" s="326" customFormat="1" ht="16.5" customHeight="1" spans="1:16">
      <c r="A920" s="347" t="s">
        <v>835</v>
      </c>
      <c r="B920" s="348"/>
      <c r="C920" s="348">
        <v>89</v>
      </c>
      <c r="D920" s="349"/>
      <c r="E920" s="348">
        <v>23</v>
      </c>
      <c r="F920" s="345">
        <f>C920-E920</f>
        <v>66</v>
      </c>
      <c r="G920" s="346">
        <f>F920/E920*100</f>
        <v>286.95652173913</v>
      </c>
      <c r="H920" s="348"/>
      <c r="I920" s="345">
        <f>H920-B920</f>
        <v>0</v>
      </c>
      <c r="J920" s="349"/>
      <c r="K920" s="325"/>
      <c r="L920" s="325">
        <f t="shared" si="55"/>
        <v>441.95652173913</v>
      </c>
      <c r="M920" s="325"/>
      <c r="N920" s="363"/>
      <c r="O920" s="363"/>
      <c r="P920" s="364"/>
    </row>
    <row r="921" ht="16.5" hidden="1" customHeight="1" spans="1:16">
      <c r="A921" s="365" t="s">
        <v>155</v>
      </c>
      <c r="B921" s="348"/>
      <c r="C921" s="348">
        <v>0</v>
      </c>
      <c r="D921" s="349"/>
      <c r="E921" s="348"/>
      <c r="F921" s="345"/>
      <c r="G921" s="346"/>
      <c r="H921" s="348"/>
      <c r="I921" s="345"/>
      <c r="J921" s="349"/>
      <c r="K921" s="325"/>
      <c r="L921" s="325">
        <f t="shared" si="55"/>
        <v>0</v>
      </c>
      <c r="M921" s="325"/>
      <c r="N921" s="363"/>
      <c r="O921" s="363"/>
      <c r="P921" s="364"/>
    </row>
    <row r="922" ht="16.5" hidden="1" customHeight="1" spans="1:16">
      <c r="A922" s="347" t="s">
        <v>156</v>
      </c>
      <c r="B922" s="348"/>
      <c r="C922" s="348">
        <v>0</v>
      </c>
      <c r="D922" s="349"/>
      <c r="E922" s="348"/>
      <c r="F922" s="345"/>
      <c r="G922" s="346"/>
      <c r="H922" s="348"/>
      <c r="I922" s="345"/>
      <c r="J922" s="349"/>
      <c r="K922" s="325"/>
      <c r="L922" s="325">
        <f t="shared" si="55"/>
        <v>0</v>
      </c>
      <c r="M922" s="325"/>
      <c r="N922" s="363"/>
      <c r="O922" s="363"/>
      <c r="P922" s="364"/>
    </row>
    <row r="923" ht="16.5" hidden="1" customHeight="1" spans="1:16">
      <c r="A923" s="365" t="s">
        <v>157</v>
      </c>
      <c r="B923" s="348"/>
      <c r="C923" s="348">
        <v>0</v>
      </c>
      <c r="D923" s="349"/>
      <c r="E923" s="348"/>
      <c r="F923" s="345"/>
      <c r="G923" s="346"/>
      <c r="H923" s="348"/>
      <c r="I923" s="345"/>
      <c r="J923" s="349"/>
      <c r="K923" s="325"/>
      <c r="L923" s="325">
        <f t="shared" si="55"/>
        <v>0</v>
      </c>
      <c r="M923" s="325"/>
      <c r="N923" s="363"/>
      <c r="O923" s="363"/>
      <c r="P923" s="364"/>
    </row>
    <row r="924" ht="16.5" hidden="1" customHeight="1" spans="1:16">
      <c r="A924" s="347" t="s">
        <v>826</v>
      </c>
      <c r="B924" s="348"/>
      <c r="C924" s="348">
        <v>0</v>
      </c>
      <c r="D924" s="349"/>
      <c r="E924" s="348"/>
      <c r="F924" s="345"/>
      <c r="G924" s="346"/>
      <c r="H924" s="348"/>
      <c r="I924" s="345"/>
      <c r="J924" s="349"/>
      <c r="K924" s="325"/>
      <c r="L924" s="325">
        <f t="shared" si="55"/>
        <v>0</v>
      </c>
      <c r="M924" s="325"/>
      <c r="N924" s="363"/>
      <c r="O924" s="363"/>
      <c r="P924" s="364"/>
    </row>
    <row r="925" ht="16.5" hidden="1" customHeight="1" spans="1:16">
      <c r="A925" s="347" t="s">
        <v>836</v>
      </c>
      <c r="B925" s="348"/>
      <c r="C925" s="348">
        <v>0</v>
      </c>
      <c r="D925" s="349"/>
      <c r="E925" s="348"/>
      <c r="F925" s="345"/>
      <c r="G925" s="346"/>
      <c r="H925" s="348"/>
      <c r="I925" s="345"/>
      <c r="J925" s="349"/>
      <c r="K925" s="325"/>
      <c r="L925" s="325">
        <f t="shared" si="55"/>
        <v>0</v>
      </c>
      <c r="M925" s="325"/>
      <c r="N925" s="363"/>
      <c r="O925" s="363"/>
      <c r="P925" s="364"/>
    </row>
    <row r="926" ht="16.5" hidden="1" customHeight="1" spans="1:16">
      <c r="A926" s="347" t="s">
        <v>837</v>
      </c>
      <c r="B926" s="348"/>
      <c r="C926" s="348">
        <v>0</v>
      </c>
      <c r="D926" s="349"/>
      <c r="E926" s="348"/>
      <c r="F926" s="345"/>
      <c r="G926" s="346"/>
      <c r="H926" s="348"/>
      <c r="I926" s="345"/>
      <c r="J926" s="349"/>
      <c r="K926" s="325"/>
      <c r="L926" s="325">
        <f t="shared" si="55"/>
        <v>0</v>
      </c>
      <c r="M926" s="325"/>
      <c r="N926" s="363"/>
      <c r="O926" s="363"/>
      <c r="P926" s="364"/>
    </row>
    <row r="927" s="326" customFormat="1" ht="16.5" customHeight="1" spans="1:16">
      <c r="A927" s="347" t="s">
        <v>838</v>
      </c>
      <c r="B927" s="348">
        <v>6294</v>
      </c>
      <c r="C927" s="348">
        <v>4180</v>
      </c>
      <c r="D927" s="349">
        <f>C927/B927*100</f>
        <v>66.4124563075945</v>
      </c>
      <c r="E927" s="348">
        <v>4896</v>
      </c>
      <c r="F927" s="345">
        <f>C927-E927</f>
        <v>-716</v>
      </c>
      <c r="G927" s="346">
        <f>F927/E927*100</f>
        <v>-14.6241830065359</v>
      </c>
      <c r="H927" s="348">
        <f>SUM(H928:H929)</f>
        <v>6133.38</v>
      </c>
      <c r="I927" s="345">
        <f>H927-B927</f>
        <v>-160.62</v>
      </c>
      <c r="J927" s="349">
        <f>I927/B927*100</f>
        <v>-2.55195424213537</v>
      </c>
      <c r="K927" s="325"/>
      <c r="L927" s="325">
        <f t="shared" si="55"/>
        <v>15779.9963190589</v>
      </c>
      <c r="M927" s="325"/>
      <c r="N927" s="363"/>
      <c r="O927" s="363"/>
      <c r="P927" s="364"/>
    </row>
    <row r="928" s="326" customFormat="1" ht="16.5" customHeight="1" spans="1:16381">
      <c r="A928" s="347" t="s">
        <v>839</v>
      </c>
      <c r="B928" s="348"/>
      <c r="C928" s="348">
        <v>0</v>
      </c>
      <c r="D928" s="349"/>
      <c r="E928" s="348"/>
      <c r="F928" s="345"/>
      <c r="G928" s="346"/>
      <c r="H928" s="348">
        <v>500</v>
      </c>
      <c r="I928" s="345"/>
      <c r="J928" s="349"/>
      <c r="K928" s="325"/>
      <c r="L928" s="325">
        <f t="shared" si="55"/>
        <v>500</v>
      </c>
      <c r="M928" s="325"/>
      <c r="N928" s="363"/>
      <c r="O928" s="363"/>
      <c r="P928" s="364"/>
      <c r="XEZ928" s="332"/>
      <c r="XFA928" s="332"/>
    </row>
    <row r="929" s="326" customFormat="1" ht="16.5" customHeight="1" spans="1:16381">
      <c r="A929" s="347" t="s">
        <v>840</v>
      </c>
      <c r="B929" s="348"/>
      <c r="C929" s="348"/>
      <c r="D929" s="349"/>
      <c r="E929" s="348"/>
      <c r="F929" s="345"/>
      <c r="G929" s="346"/>
      <c r="H929" s="348">
        <v>5633.38</v>
      </c>
      <c r="I929" s="345"/>
      <c r="J929" s="349"/>
      <c r="K929" s="325"/>
      <c r="L929" s="325">
        <f t="shared" si="55"/>
        <v>5633.38</v>
      </c>
      <c r="M929" s="325"/>
      <c r="N929" s="363"/>
      <c r="O929" s="363"/>
      <c r="P929" s="364"/>
      <c r="XEZ929" s="332"/>
      <c r="XFA929" s="332"/>
    </row>
    <row r="930" s="325" customFormat="1" ht="16.5" customHeight="1" spans="1:16">
      <c r="A930" s="344" t="s">
        <v>841</v>
      </c>
      <c r="B930" s="345">
        <f>B931+B941+B957+B962+B973+B979+B987</f>
        <v>41242</v>
      </c>
      <c r="C930" s="345">
        <f>C931+C941+C957+C962+C973+C979+C987</f>
        <v>142209</v>
      </c>
      <c r="D930" s="349">
        <f t="shared" ref="D930:D931" si="56">C930/B930*100</f>
        <v>344.815964308229</v>
      </c>
      <c r="E930" s="345">
        <f>E931+E941+E957+E962+E973+E979+E987</f>
        <v>244195</v>
      </c>
      <c r="F930" s="345">
        <f t="shared" ref="F930:F931" si="57">C930-E930</f>
        <v>-101986</v>
      </c>
      <c r="G930" s="346">
        <f t="shared" ref="G930:G931" si="58">F930/E930*100</f>
        <v>-41.7641638854194</v>
      </c>
      <c r="H930" s="345">
        <f>H931+H941+H957+H962+H973+H979+H987</f>
        <v>42277.579313</v>
      </c>
      <c r="I930" s="345">
        <f>H930-B930</f>
        <v>1035.57931299999</v>
      </c>
      <c r="J930" s="349">
        <f t="shared" ref="J930:J931" si="59">I930/B930*100</f>
        <v>2.5109822826245</v>
      </c>
      <c r="L930" s="325">
        <f t="shared" si="55"/>
        <v>125083.721408705</v>
      </c>
      <c r="N930" s="362"/>
      <c r="O930" s="362"/>
      <c r="P930" s="364"/>
    </row>
    <row r="931" s="326" customFormat="1" ht="16.5" customHeight="1" spans="1:16">
      <c r="A931" s="347" t="s">
        <v>842</v>
      </c>
      <c r="B931" s="348">
        <v>6257</v>
      </c>
      <c r="C931" s="348">
        <v>412</v>
      </c>
      <c r="D931" s="349">
        <f t="shared" si="56"/>
        <v>6.58462521975388</v>
      </c>
      <c r="E931" s="348">
        <v>1259</v>
      </c>
      <c r="F931" s="345">
        <f t="shared" si="57"/>
        <v>-847</v>
      </c>
      <c r="G931" s="346">
        <f t="shared" si="58"/>
        <v>-67.275615567911</v>
      </c>
      <c r="H931" s="348">
        <f>SUM(H932:H940)</f>
        <v>6256.7552</v>
      </c>
      <c r="I931" s="345">
        <f>H931-B931</f>
        <v>-0.244800000000396</v>
      </c>
      <c r="J931" s="349">
        <f t="shared" si="59"/>
        <v>-0.00391241809174358</v>
      </c>
      <c r="K931" s="325"/>
      <c r="L931" s="325">
        <f t="shared" si="55"/>
        <v>12017.8154972338</v>
      </c>
      <c r="M931" s="325"/>
      <c r="N931" s="363"/>
      <c r="O931" s="363"/>
      <c r="P931" s="364"/>
    </row>
    <row r="932" ht="16.5" customHeight="1" spans="1:16">
      <c r="A932" s="347" t="s">
        <v>155</v>
      </c>
      <c r="B932" s="348"/>
      <c r="C932" s="348"/>
      <c r="D932" s="349"/>
      <c r="E932" s="348"/>
      <c r="F932" s="345"/>
      <c r="G932" s="346"/>
      <c r="H932" s="348">
        <v>110</v>
      </c>
      <c r="I932" s="345"/>
      <c r="J932" s="349"/>
      <c r="K932" s="325"/>
      <c r="L932" s="325">
        <f t="shared" si="55"/>
        <v>110</v>
      </c>
      <c r="M932" s="325"/>
      <c r="N932" s="363"/>
      <c r="O932" s="363"/>
      <c r="P932" s="364"/>
    </row>
    <row r="933" ht="16.5" hidden="1" customHeight="1" spans="1:16">
      <c r="A933" s="347" t="s">
        <v>156</v>
      </c>
      <c r="B933" s="348"/>
      <c r="C933" s="348">
        <v>0</v>
      </c>
      <c r="D933" s="349"/>
      <c r="E933" s="348"/>
      <c r="F933" s="345"/>
      <c r="G933" s="346"/>
      <c r="H933" s="348">
        <v>0</v>
      </c>
      <c r="I933" s="345"/>
      <c r="J933" s="349"/>
      <c r="K933" s="325"/>
      <c r="L933" s="325">
        <f t="shared" si="55"/>
        <v>0</v>
      </c>
      <c r="M933" s="325"/>
      <c r="N933" s="363"/>
      <c r="O933" s="363"/>
      <c r="P933" s="364"/>
    </row>
    <row r="934" ht="16.5" hidden="1" customHeight="1" spans="1:16">
      <c r="A934" s="365" t="s">
        <v>157</v>
      </c>
      <c r="B934" s="348"/>
      <c r="C934" s="348">
        <v>0</v>
      </c>
      <c r="D934" s="349"/>
      <c r="E934" s="348"/>
      <c r="F934" s="345"/>
      <c r="G934" s="346"/>
      <c r="H934" s="348">
        <v>0</v>
      </c>
      <c r="I934" s="345"/>
      <c r="J934" s="349"/>
      <c r="K934" s="325"/>
      <c r="L934" s="325">
        <f t="shared" si="55"/>
        <v>0</v>
      </c>
      <c r="M934" s="325"/>
      <c r="N934" s="363"/>
      <c r="O934" s="363"/>
      <c r="P934" s="364"/>
    </row>
    <row r="935" ht="16.5" hidden="1" customHeight="1" spans="1:16">
      <c r="A935" s="347" t="s">
        <v>843</v>
      </c>
      <c r="B935" s="348"/>
      <c r="C935" s="348">
        <v>0</v>
      </c>
      <c r="D935" s="349"/>
      <c r="E935" s="348"/>
      <c r="F935" s="345"/>
      <c r="G935" s="346"/>
      <c r="H935" s="348">
        <v>0</v>
      </c>
      <c r="I935" s="345"/>
      <c r="J935" s="349"/>
      <c r="K935" s="325"/>
      <c r="L935" s="325">
        <f t="shared" si="55"/>
        <v>0</v>
      </c>
      <c r="M935" s="325"/>
      <c r="N935" s="363"/>
      <c r="O935" s="363"/>
      <c r="P935" s="364"/>
    </row>
    <row r="936" ht="16.5" hidden="1" customHeight="1" spans="1:16">
      <c r="A936" s="347" t="s">
        <v>844</v>
      </c>
      <c r="B936" s="348"/>
      <c r="C936" s="348">
        <v>0</v>
      </c>
      <c r="D936" s="349"/>
      <c r="E936" s="348"/>
      <c r="F936" s="345"/>
      <c r="G936" s="346"/>
      <c r="H936" s="348">
        <v>0</v>
      </c>
      <c r="I936" s="345"/>
      <c r="J936" s="349"/>
      <c r="K936" s="325"/>
      <c r="L936" s="325">
        <f t="shared" si="55"/>
        <v>0</v>
      </c>
      <c r="M936" s="325"/>
      <c r="N936" s="363"/>
      <c r="O936" s="363"/>
      <c r="P936" s="364"/>
    </row>
    <row r="937" ht="16.5" hidden="1" customHeight="1" spans="1:16">
      <c r="A937" s="347" t="s">
        <v>845</v>
      </c>
      <c r="B937" s="348"/>
      <c r="C937" s="348">
        <v>0</v>
      </c>
      <c r="D937" s="349"/>
      <c r="E937" s="348"/>
      <c r="F937" s="345"/>
      <c r="G937" s="346"/>
      <c r="H937" s="348">
        <v>0</v>
      </c>
      <c r="I937" s="345"/>
      <c r="J937" s="349"/>
      <c r="K937" s="325"/>
      <c r="L937" s="325">
        <f t="shared" si="55"/>
        <v>0</v>
      </c>
      <c r="M937" s="325"/>
      <c r="N937" s="363"/>
      <c r="O937" s="363"/>
      <c r="P937" s="364"/>
    </row>
    <row r="938" ht="16.5" hidden="1" customHeight="1" spans="1:16">
      <c r="A938" s="347" t="s">
        <v>846</v>
      </c>
      <c r="B938" s="348"/>
      <c r="C938" s="348">
        <v>0</v>
      </c>
      <c r="D938" s="349"/>
      <c r="E938" s="348"/>
      <c r="F938" s="345"/>
      <c r="G938" s="346"/>
      <c r="H938" s="348">
        <v>0</v>
      </c>
      <c r="I938" s="345"/>
      <c r="J938" s="349"/>
      <c r="K938" s="325"/>
      <c r="L938" s="325">
        <f t="shared" si="55"/>
        <v>0</v>
      </c>
      <c r="M938" s="325"/>
      <c r="N938" s="363"/>
      <c r="O938" s="363"/>
      <c r="P938" s="364"/>
    </row>
    <row r="939" ht="16.5" hidden="1" customHeight="1" spans="1:16">
      <c r="A939" s="347" t="s">
        <v>847</v>
      </c>
      <c r="B939" s="348"/>
      <c r="C939" s="348">
        <v>0</v>
      </c>
      <c r="D939" s="349"/>
      <c r="E939" s="348"/>
      <c r="F939" s="345"/>
      <c r="G939" s="346"/>
      <c r="H939" s="348">
        <v>0</v>
      </c>
      <c r="I939" s="345"/>
      <c r="J939" s="349"/>
      <c r="K939" s="325"/>
      <c r="L939" s="325">
        <f t="shared" si="55"/>
        <v>0</v>
      </c>
      <c r="M939" s="325"/>
      <c r="N939" s="363"/>
      <c r="O939" s="363"/>
      <c r="P939" s="364"/>
    </row>
    <row r="940" ht="16.5" customHeight="1" spans="1:16">
      <c r="A940" s="347" t="s">
        <v>848</v>
      </c>
      <c r="B940" s="348"/>
      <c r="C940" s="348"/>
      <c r="D940" s="349"/>
      <c r="E940" s="348"/>
      <c r="F940" s="345"/>
      <c r="G940" s="346"/>
      <c r="H940" s="348">
        <v>6146.7552</v>
      </c>
      <c r="I940" s="345"/>
      <c r="J940" s="349"/>
      <c r="K940" s="325"/>
      <c r="L940" s="325">
        <f t="shared" si="55"/>
        <v>6146.7552</v>
      </c>
      <c r="M940" s="325"/>
      <c r="N940" s="363"/>
      <c r="O940" s="363"/>
      <c r="P940" s="364"/>
    </row>
    <row r="941" s="326" customFormat="1" ht="16.5" customHeight="1" spans="1:16">
      <c r="A941" s="347" t="s">
        <v>849</v>
      </c>
      <c r="B941" s="348">
        <v>18882</v>
      </c>
      <c r="C941" s="348">
        <v>23012</v>
      </c>
      <c r="D941" s="349">
        <f>C941/B941*100</f>
        <v>121.872682978498</v>
      </c>
      <c r="E941" s="348">
        <v>55939</v>
      </c>
      <c r="F941" s="345">
        <f>C941-E941</f>
        <v>-32927</v>
      </c>
      <c r="G941" s="346">
        <f>F941/E941*100</f>
        <v>-58.8623321832711</v>
      </c>
      <c r="H941" s="348">
        <f>SUM(H942:H956)</f>
        <v>11589.444398</v>
      </c>
      <c r="I941" s="345">
        <f>H941-B941</f>
        <v>-7292.555602</v>
      </c>
      <c r="J941" s="349">
        <f>I941/B941*100</f>
        <v>-38.6217328778731</v>
      </c>
      <c r="K941" s="325"/>
      <c r="L941" s="325">
        <f t="shared" si="55"/>
        <v>13288.2774139174</v>
      </c>
      <c r="M941" s="325"/>
      <c r="N941" s="363"/>
      <c r="O941" s="363"/>
      <c r="P941" s="364"/>
    </row>
    <row r="942" ht="16.5" customHeight="1" spans="1:16">
      <c r="A942" s="347" t="s">
        <v>155</v>
      </c>
      <c r="B942" s="348"/>
      <c r="C942" s="348"/>
      <c r="D942" s="349"/>
      <c r="E942" s="348"/>
      <c r="F942" s="345"/>
      <c r="G942" s="346"/>
      <c r="H942" s="348">
        <f>3553.474398-15-350</f>
        <v>3188.474398</v>
      </c>
      <c r="I942" s="345"/>
      <c r="J942" s="349"/>
      <c r="K942" s="325"/>
      <c r="L942" s="325">
        <f t="shared" si="55"/>
        <v>3188.474398</v>
      </c>
      <c r="M942" s="325"/>
      <c r="N942" s="363"/>
      <c r="O942" s="363"/>
      <c r="P942" s="364"/>
    </row>
    <row r="943" ht="16.5" customHeight="1" spans="1:16">
      <c r="A943" s="347" t="s">
        <v>156</v>
      </c>
      <c r="B943" s="348"/>
      <c r="C943" s="348"/>
      <c r="D943" s="349"/>
      <c r="E943" s="348"/>
      <c r="F943" s="345"/>
      <c r="G943" s="346"/>
      <c r="H943" s="348">
        <v>760.97</v>
      </c>
      <c r="I943" s="345"/>
      <c r="J943" s="349"/>
      <c r="K943" s="325"/>
      <c r="L943" s="325">
        <f t="shared" si="55"/>
        <v>760.97</v>
      </c>
      <c r="M943" s="325"/>
      <c r="N943" s="363"/>
      <c r="O943" s="363"/>
      <c r="P943" s="364"/>
    </row>
    <row r="944" ht="16.5" hidden="1" customHeight="1" spans="1:16">
      <c r="A944" s="365" t="s">
        <v>157</v>
      </c>
      <c r="B944" s="348"/>
      <c r="C944" s="348">
        <v>0</v>
      </c>
      <c r="D944" s="349"/>
      <c r="E944" s="348"/>
      <c r="F944" s="345"/>
      <c r="G944" s="346"/>
      <c r="H944" s="348">
        <v>0</v>
      </c>
      <c r="I944" s="345"/>
      <c r="J944" s="349"/>
      <c r="K944" s="325"/>
      <c r="L944" s="325">
        <f t="shared" si="55"/>
        <v>0</v>
      </c>
      <c r="M944" s="325"/>
      <c r="N944" s="363"/>
      <c r="O944" s="363"/>
      <c r="P944" s="364"/>
    </row>
    <row r="945" ht="16.5" hidden="1" customHeight="1" spans="1:16">
      <c r="A945" s="347" t="s">
        <v>850</v>
      </c>
      <c r="B945" s="348"/>
      <c r="C945" s="348">
        <v>0</v>
      </c>
      <c r="D945" s="349"/>
      <c r="E945" s="348"/>
      <c r="F945" s="345"/>
      <c r="G945" s="346"/>
      <c r="H945" s="348">
        <v>0</v>
      </c>
      <c r="I945" s="345"/>
      <c r="J945" s="349"/>
      <c r="K945" s="325"/>
      <c r="L945" s="325">
        <f t="shared" si="55"/>
        <v>0</v>
      </c>
      <c r="M945" s="325"/>
      <c r="N945" s="363"/>
      <c r="O945" s="363"/>
      <c r="P945" s="364"/>
    </row>
    <row r="946" ht="16.5" hidden="1" customHeight="1" spans="1:16">
      <c r="A946" s="347" t="s">
        <v>851</v>
      </c>
      <c r="B946" s="348"/>
      <c r="C946" s="348">
        <v>0</v>
      </c>
      <c r="D946" s="349"/>
      <c r="E946" s="348"/>
      <c r="F946" s="345"/>
      <c r="G946" s="346"/>
      <c r="H946" s="348">
        <v>0</v>
      </c>
      <c r="I946" s="345"/>
      <c r="J946" s="349"/>
      <c r="K946" s="325"/>
      <c r="L946" s="325">
        <f t="shared" si="55"/>
        <v>0</v>
      </c>
      <c r="M946" s="325"/>
      <c r="N946" s="363"/>
      <c r="O946" s="363"/>
      <c r="P946" s="364"/>
    </row>
    <row r="947" ht="16.5" hidden="1" customHeight="1" spans="1:16">
      <c r="A947" s="347" t="s">
        <v>852</v>
      </c>
      <c r="B947" s="348"/>
      <c r="C947" s="348">
        <v>0</v>
      </c>
      <c r="D947" s="349"/>
      <c r="E947" s="348"/>
      <c r="F947" s="345"/>
      <c r="G947" s="346"/>
      <c r="H947" s="348">
        <v>0</v>
      </c>
      <c r="I947" s="345"/>
      <c r="J947" s="349"/>
      <c r="K947" s="325"/>
      <c r="L947" s="325">
        <f t="shared" si="55"/>
        <v>0</v>
      </c>
      <c r="M947" s="325"/>
      <c r="N947" s="363"/>
      <c r="O947" s="363"/>
      <c r="P947" s="364"/>
    </row>
    <row r="948" ht="16.5" hidden="1" customHeight="1" spans="1:16">
      <c r="A948" s="347" t="s">
        <v>853</v>
      </c>
      <c r="B948" s="348"/>
      <c r="C948" s="348">
        <v>0</v>
      </c>
      <c r="D948" s="349"/>
      <c r="E948" s="348"/>
      <c r="F948" s="345"/>
      <c r="G948" s="346"/>
      <c r="H948" s="348">
        <v>0</v>
      </c>
      <c r="I948" s="345"/>
      <c r="J948" s="349"/>
      <c r="K948" s="325"/>
      <c r="L948" s="325">
        <f t="shared" si="55"/>
        <v>0</v>
      </c>
      <c r="M948" s="325"/>
      <c r="N948" s="363"/>
      <c r="O948" s="363"/>
      <c r="P948" s="364"/>
    </row>
    <row r="949" ht="16.5" hidden="1" customHeight="1" spans="1:16">
      <c r="A949" s="347" t="s">
        <v>854</v>
      </c>
      <c r="B949" s="348"/>
      <c r="C949" s="348">
        <v>0</v>
      </c>
      <c r="D949" s="349"/>
      <c r="E949" s="348"/>
      <c r="F949" s="345"/>
      <c r="G949" s="346"/>
      <c r="H949" s="348">
        <v>0</v>
      </c>
      <c r="I949" s="345"/>
      <c r="J949" s="349"/>
      <c r="K949" s="325"/>
      <c r="L949" s="325">
        <f t="shared" si="55"/>
        <v>0</v>
      </c>
      <c r="M949" s="325"/>
      <c r="N949" s="363"/>
      <c r="O949" s="363"/>
      <c r="P949" s="364"/>
    </row>
    <row r="950" ht="16.5" customHeight="1" spans="1:16">
      <c r="A950" s="347" t="s">
        <v>855</v>
      </c>
      <c r="B950" s="348"/>
      <c r="C950" s="348">
        <v>0</v>
      </c>
      <c r="D950" s="349"/>
      <c r="E950" s="348"/>
      <c r="F950" s="345"/>
      <c r="G950" s="346"/>
      <c r="H950" s="348">
        <f>290+350</f>
        <v>640</v>
      </c>
      <c r="I950" s="345"/>
      <c r="J950" s="349"/>
      <c r="K950" s="325"/>
      <c r="L950" s="325">
        <f t="shared" si="55"/>
        <v>640</v>
      </c>
      <c r="M950" s="325"/>
      <c r="N950" s="363"/>
      <c r="O950" s="363"/>
      <c r="P950" s="364"/>
    </row>
    <row r="951" ht="16.5" customHeight="1" spans="1:16">
      <c r="A951" s="347" t="s">
        <v>856</v>
      </c>
      <c r="B951" s="348"/>
      <c r="C951" s="348">
        <v>0</v>
      </c>
      <c r="D951" s="349"/>
      <c r="E951" s="348"/>
      <c r="F951" s="345"/>
      <c r="G951" s="346"/>
      <c r="H951" s="348">
        <f>12932-6800-500</f>
        <v>5632</v>
      </c>
      <c r="I951" s="345"/>
      <c r="J951" s="349"/>
      <c r="K951" s="325"/>
      <c r="L951" s="325">
        <f t="shared" si="55"/>
        <v>5632</v>
      </c>
      <c r="M951" s="325"/>
      <c r="N951" s="363"/>
      <c r="O951" s="363"/>
      <c r="P951" s="364"/>
    </row>
    <row r="952" ht="16.5" hidden="1" customHeight="1" spans="1:16">
      <c r="A952" s="347" t="s">
        <v>857</v>
      </c>
      <c r="B952" s="348"/>
      <c r="C952" s="348">
        <v>0</v>
      </c>
      <c r="D952" s="349"/>
      <c r="E952" s="348"/>
      <c r="F952" s="345"/>
      <c r="G952" s="346"/>
      <c r="H952" s="348">
        <v>0</v>
      </c>
      <c r="I952" s="345"/>
      <c r="J952" s="349"/>
      <c r="K952" s="325"/>
      <c r="L952" s="325">
        <f t="shared" si="55"/>
        <v>0</v>
      </c>
      <c r="M952" s="325"/>
      <c r="N952" s="363"/>
      <c r="O952" s="363"/>
      <c r="P952" s="364"/>
    </row>
    <row r="953" ht="16.5" hidden="1" customHeight="1" spans="1:16">
      <c r="A953" s="347" t="s">
        <v>858</v>
      </c>
      <c r="B953" s="348"/>
      <c r="C953" s="348">
        <v>0</v>
      </c>
      <c r="D953" s="349"/>
      <c r="E953" s="348"/>
      <c r="F953" s="345"/>
      <c r="G953" s="346"/>
      <c r="H953" s="348">
        <v>0</v>
      </c>
      <c r="I953" s="345"/>
      <c r="J953" s="349"/>
      <c r="K953" s="325"/>
      <c r="L953" s="325">
        <f t="shared" si="55"/>
        <v>0</v>
      </c>
      <c r="M953" s="325"/>
      <c r="N953" s="363"/>
      <c r="O953" s="363"/>
      <c r="P953" s="364"/>
    </row>
    <row r="954" ht="16.5" hidden="1" customHeight="1" spans="1:16">
      <c r="A954" s="347" t="s">
        <v>859</v>
      </c>
      <c r="B954" s="348"/>
      <c r="C954" s="348">
        <v>0</v>
      </c>
      <c r="D954" s="349"/>
      <c r="E954" s="348"/>
      <c r="F954" s="345"/>
      <c r="G954" s="346"/>
      <c r="H954" s="348">
        <v>0</v>
      </c>
      <c r="I954" s="345"/>
      <c r="J954" s="349"/>
      <c r="K954" s="325"/>
      <c r="L954" s="325">
        <f t="shared" si="55"/>
        <v>0</v>
      </c>
      <c r="M954" s="325"/>
      <c r="N954" s="363"/>
      <c r="O954" s="363"/>
      <c r="P954" s="364"/>
    </row>
    <row r="955" ht="16.5" hidden="1" customHeight="1" spans="1:16">
      <c r="A955" s="347" t="s">
        <v>860</v>
      </c>
      <c r="B955" s="348"/>
      <c r="C955" s="348">
        <v>0</v>
      </c>
      <c r="D955" s="349"/>
      <c r="E955" s="348"/>
      <c r="F955" s="345"/>
      <c r="G955" s="346"/>
      <c r="H955" s="348">
        <v>0</v>
      </c>
      <c r="I955" s="345"/>
      <c r="J955" s="349"/>
      <c r="K955" s="325"/>
      <c r="L955" s="325">
        <f t="shared" si="55"/>
        <v>0</v>
      </c>
      <c r="M955" s="325"/>
      <c r="N955" s="363"/>
      <c r="O955" s="363"/>
      <c r="P955" s="364"/>
    </row>
    <row r="956" ht="16.5" customHeight="1" spans="1:16">
      <c r="A956" s="347" t="s">
        <v>861</v>
      </c>
      <c r="B956" s="348"/>
      <c r="C956" s="348"/>
      <c r="D956" s="349"/>
      <c r="E956" s="348"/>
      <c r="F956" s="345"/>
      <c r="G956" s="346"/>
      <c r="H956" s="348">
        <v>1368</v>
      </c>
      <c r="I956" s="345"/>
      <c r="J956" s="349"/>
      <c r="K956" s="325"/>
      <c r="L956" s="325">
        <f t="shared" si="55"/>
        <v>1368</v>
      </c>
      <c r="M956" s="325"/>
      <c r="N956" s="363"/>
      <c r="O956" s="363"/>
      <c r="P956" s="364"/>
    </row>
    <row r="957" s="326" customFormat="1" ht="16.5" customHeight="1" spans="1:16">
      <c r="A957" s="347" t="s">
        <v>862</v>
      </c>
      <c r="B957" s="348">
        <v>61</v>
      </c>
      <c r="C957" s="348">
        <v>536</v>
      </c>
      <c r="D957" s="349">
        <f>C957/B957*100</f>
        <v>878.688524590164</v>
      </c>
      <c r="E957" s="348">
        <v>59</v>
      </c>
      <c r="F957" s="345">
        <f>C957-E957</f>
        <v>477</v>
      </c>
      <c r="G957" s="346">
        <f>F957/E957*100</f>
        <v>808.474576271186</v>
      </c>
      <c r="H957" s="348">
        <f>SUM(H958:H961)</f>
        <v>61.025025</v>
      </c>
      <c r="I957" s="345">
        <f>H957-B957</f>
        <v>0.0250249999999994</v>
      </c>
      <c r="J957" s="349">
        <f>I957/B957*100</f>
        <v>0.0410245901639335</v>
      </c>
      <c r="K957" s="325"/>
      <c r="L957" s="325">
        <f t="shared" si="55"/>
        <v>2822.25417545151</v>
      </c>
      <c r="M957" s="325"/>
      <c r="N957" s="363"/>
      <c r="O957" s="363"/>
      <c r="P957" s="364"/>
    </row>
    <row r="958" ht="16.5" hidden="1" customHeight="1" spans="1:16">
      <c r="A958" s="347" t="s">
        <v>155</v>
      </c>
      <c r="B958" s="348"/>
      <c r="C958" s="348">
        <v>0</v>
      </c>
      <c r="D958" s="349"/>
      <c r="E958" s="348"/>
      <c r="F958" s="345"/>
      <c r="G958" s="346"/>
      <c r="H958" s="348">
        <v>0</v>
      </c>
      <c r="I958" s="345"/>
      <c r="J958" s="349"/>
      <c r="K958" s="325"/>
      <c r="L958" s="325">
        <f t="shared" si="55"/>
        <v>0</v>
      </c>
      <c r="M958" s="325"/>
      <c r="N958" s="363"/>
      <c r="O958" s="363"/>
      <c r="P958" s="364"/>
    </row>
    <row r="959" ht="16.5" hidden="1" customHeight="1" spans="1:16">
      <c r="A959" s="347" t="s">
        <v>156</v>
      </c>
      <c r="B959" s="348"/>
      <c r="C959" s="348">
        <v>0</v>
      </c>
      <c r="D959" s="349"/>
      <c r="E959" s="348"/>
      <c r="F959" s="345"/>
      <c r="G959" s="346"/>
      <c r="H959" s="348">
        <v>0</v>
      </c>
      <c r="I959" s="345"/>
      <c r="J959" s="349"/>
      <c r="K959" s="325"/>
      <c r="L959" s="325">
        <f t="shared" si="55"/>
        <v>0</v>
      </c>
      <c r="M959" s="325"/>
      <c r="N959" s="363"/>
      <c r="O959" s="363"/>
      <c r="P959" s="364"/>
    </row>
    <row r="960" ht="16.5" hidden="1" customHeight="1" spans="1:16">
      <c r="A960" s="365" t="s">
        <v>157</v>
      </c>
      <c r="B960" s="348"/>
      <c r="C960" s="348">
        <v>0</v>
      </c>
      <c r="D960" s="349"/>
      <c r="E960" s="348"/>
      <c r="F960" s="345"/>
      <c r="G960" s="346"/>
      <c r="H960" s="348">
        <v>0</v>
      </c>
      <c r="I960" s="345"/>
      <c r="J960" s="349"/>
      <c r="K960" s="325"/>
      <c r="L960" s="325">
        <f t="shared" si="55"/>
        <v>0</v>
      </c>
      <c r="M960" s="325"/>
      <c r="N960" s="363"/>
      <c r="O960" s="363"/>
      <c r="P960" s="364"/>
    </row>
    <row r="961" ht="16.5" customHeight="1" spans="1:16">
      <c r="A961" s="347" t="s">
        <v>863</v>
      </c>
      <c r="B961" s="348"/>
      <c r="C961" s="348">
        <v>0</v>
      </c>
      <c r="D961" s="349"/>
      <c r="E961" s="348"/>
      <c r="F961" s="345"/>
      <c r="G961" s="346"/>
      <c r="H961" s="348">
        <v>61.025025</v>
      </c>
      <c r="I961" s="345"/>
      <c r="J961" s="349"/>
      <c r="K961" s="325"/>
      <c r="L961" s="325">
        <f t="shared" si="55"/>
        <v>61.025025</v>
      </c>
      <c r="M961" s="325"/>
      <c r="N961" s="363"/>
      <c r="O961" s="363"/>
      <c r="P961" s="364"/>
    </row>
    <row r="962" s="326" customFormat="1" ht="16.5" customHeight="1" spans="1:16">
      <c r="A962" s="347" t="s">
        <v>864</v>
      </c>
      <c r="B962" s="348">
        <v>2988</v>
      </c>
      <c r="C962" s="348">
        <v>3168</v>
      </c>
      <c r="D962" s="349">
        <f>C962/B962*100</f>
        <v>106.024096385542</v>
      </c>
      <c r="E962" s="348">
        <v>3285</v>
      </c>
      <c r="F962" s="345">
        <f>C962-E962</f>
        <v>-117</v>
      </c>
      <c r="G962" s="346">
        <f>F962/E962*100</f>
        <v>-3.56164383561644</v>
      </c>
      <c r="H962" s="348">
        <f>SUM(H963:H972)</f>
        <v>3445.360986</v>
      </c>
      <c r="I962" s="345">
        <f>H962-B962</f>
        <v>457.360986</v>
      </c>
      <c r="J962" s="349">
        <f>I962/B962*100</f>
        <v>15.3065925702811</v>
      </c>
      <c r="K962" s="325"/>
      <c r="L962" s="325">
        <f t="shared" si="55"/>
        <v>10059.4910171202</v>
      </c>
      <c r="M962" s="325"/>
      <c r="N962" s="363"/>
      <c r="O962" s="363"/>
      <c r="P962" s="364"/>
    </row>
    <row r="963" ht="16.5" customHeight="1" spans="1:16">
      <c r="A963" s="347" t="s">
        <v>155</v>
      </c>
      <c r="B963" s="348"/>
      <c r="C963" s="348"/>
      <c r="D963" s="349"/>
      <c r="E963" s="348"/>
      <c r="F963" s="345"/>
      <c r="G963" s="346"/>
      <c r="H963" s="348">
        <v>1537.716652</v>
      </c>
      <c r="I963" s="345"/>
      <c r="J963" s="349"/>
      <c r="K963" s="325"/>
      <c r="L963" s="325">
        <f t="shared" si="55"/>
        <v>1537.716652</v>
      </c>
      <c r="M963" s="325"/>
      <c r="N963" s="363"/>
      <c r="O963" s="363"/>
      <c r="P963" s="364"/>
    </row>
    <row r="964" ht="16.5" customHeight="1" spans="1:16">
      <c r="A964" s="347" t="s">
        <v>156</v>
      </c>
      <c r="B964" s="348"/>
      <c r="C964" s="348"/>
      <c r="D964" s="349"/>
      <c r="E964" s="348"/>
      <c r="F964" s="345"/>
      <c r="G964" s="346"/>
      <c r="H964" s="348">
        <f>381.96+500</f>
        <v>881.96</v>
      </c>
      <c r="I964" s="345"/>
      <c r="J964" s="349"/>
      <c r="K964" s="325"/>
      <c r="L964" s="325">
        <f t="shared" si="55"/>
        <v>881.96</v>
      </c>
      <c r="M964" s="325"/>
      <c r="N964" s="363"/>
      <c r="O964" s="363"/>
      <c r="P964" s="364"/>
    </row>
    <row r="965" ht="16.5" hidden="1" customHeight="1" spans="1:16">
      <c r="A965" s="365" t="s">
        <v>157</v>
      </c>
      <c r="B965" s="348"/>
      <c r="C965" s="348"/>
      <c r="D965" s="349"/>
      <c r="E965" s="348"/>
      <c r="F965" s="345"/>
      <c r="G965" s="346"/>
      <c r="H965" s="348">
        <v>0</v>
      </c>
      <c r="I965" s="345"/>
      <c r="J965" s="349"/>
      <c r="K965" s="325"/>
      <c r="L965" s="325">
        <f t="shared" si="55"/>
        <v>0</v>
      </c>
      <c r="M965" s="325"/>
      <c r="N965" s="363"/>
      <c r="O965" s="363"/>
      <c r="P965" s="364"/>
    </row>
    <row r="966" ht="16.5" hidden="1" customHeight="1" spans="1:16">
      <c r="A966" s="365" t="s">
        <v>865</v>
      </c>
      <c r="B966" s="348"/>
      <c r="C966" s="348"/>
      <c r="D966" s="349"/>
      <c r="E966" s="348"/>
      <c r="F966" s="345"/>
      <c r="G966" s="346"/>
      <c r="H966" s="348">
        <v>0</v>
      </c>
      <c r="I966" s="345"/>
      <c r="J966" s="349"/>
      <c r="K966" s="325"/>
      <c r="L966" s="325">
        <f t="shared" si="55"/>
        <v>0</v>
      </c>
      <c r="M966" s="325"/>
      <c r="N966" s="363"/>
      <c r="O966" s="363"/>
      <c r="P966" s="364"/>
    </row>
    <row r="967" ht="16.5" hidden="1" customHeight="1" spans="1:16">
      <c r="A967" s="347" t="s">
        <v>866</v>
      </c>
      <c r="B967" s="348"/>
      <c r="C967" s="348"/>
      <c r="D967" s="349"/>
      <c r="E967" s="348"/>
      <c r="F967" s="345"/>
      <c r="G967" s="346"/>
      <c r="H967" s="348">
        <v>0</v>
      </c>
      <c r="I967" s="345"/>
      <c r="J967" s="349"/>
      <c r="K967" s="325"/>
      <c r="L967" s="325">
        <f t="shared" si="55"/>
        <v>0</v>
      </c>
      <c r="M967" s="325"/>
      <c r="N967" s="363"/>
      <c r="O967" s="363"/>
      <c r="P967" s="364"/>
    </row>
    <row r="968" ht="16.5" hidden="1" customHeight="1" spans="1:16">
      <c r="A968" s="347" t="s">
        <v>867</v>
      </c>
      <c r="B968" s="348"/>
      <c r="C968" s="348"/>
      <c r="D968" s="349"/>
      <c r="E968" s="348"/>
      <c r="F968" s="345"/>
      <c r="G968" s="346"/>
      <c r="H968" s="348">
        <v>0</v>
      </c>
      <c r="I968" s="345"/>
      <c r="J968" s="349"/>
      <c r="K968" s="325"/>
      <c r="L968" s="325">
        <f t="shared" ref="L968:L1031" si="60">B968+C968+D968+F968+G968+H968+I968+J968</f>
        <v>0</v>
      </c>
      <c r="M968" s="325"/>
      <c r="N968" s="363"/>
      <c r="O968" s="363"/>
      <c r="P968" s="364"/>
    </row>
    <row r="969" ht="16.5" hidden="1" customHeight="1" spans="1:16">
      <c r="A969" s="347" t="s">
        <v>868</v>
      </c>
      <c r="B969" s="348"/>
      <c r="C969" s="348"/>
      <c r="D969" s="349"/>
      <c r="E969" s="348"/>
      <c r="F969" s="345"/>
      <c r="G969" s="346"/>
      <c r="H969" s="348">
        <v>0</v>
      </c>
      <c r="I969" s="345"/>
      <c r="J969" s="349"/>
      <c r="K969" s="325"/>
      <c r="L969" s="325">
        <f t="shared" si="60"/>
        <v>0</v>
      </c>
      <c r="M969" s="325"/>
      <c r="N969" s="363"/>
      <c r="O969" s="363"/>
      <c r="P969" s="364"/>
    </row>
    <row r="970" ht="16.5" hidden="1" customHeight="1" spans="1:16">
      <c r="A970" s="347" t="s">
        <v>869</v>
      </c>
      <c r="B970" s="348"/>
      <c r="C970" s="348"/>
      <c r="D970" s="349"/>
      <c r="E970" s="348"/>
      <c r="F970" s="345"/>
      <c r="G970" s="346"/>
      <c r="H970" s="348">
        <v>0</v>
      </c>
      <c r="I970" s="345"/>
      <c r="J970" s="349"/>
      <c r="K970" s="325"/>
      <c r="L970" s="325">
        <f t="shared" si="60"/>
        <v>0</v>
      </c>
      <c r="M970" s="325"/>
      <c r="N970" s="363"/>
      <c r="O970" s="363"/>
      <c r="P970" s="364"/>
    </row>
    <row r="971" ht="16.5" customHeight="1" spans="1:16">
      <c r="A971" s="347" t="s">
        <v>164</v>
      </c>
      <c r="B971" s="348"/>
      <c r="C971" s="348"/>
      <c r="D971" s="349"/>
      <c r="E971" s="348"/>
      <c r="F971" s="345"/>
      <c r="G971" s="346"/>
      <c r="H971" s="348">
        <v>360.769124</v>
      </c>
      <c r="I971" s="345"/>
      <c r="J971" s="349"/>
      <c r="K971" s="325"/>
      <c r="L971" s="325">
        <f t="shared" si="60"/>
        <v>360.769124</v>
      </c>
      <c r="M971" s="325"/>
      <c r="N971" s="363"/>
      <c r="O971" s="363"/>
      <c r="P971" s="364"/>
    </row>
    <row r="972" ht="16.5" customHeight="1" spans="1:16">
      <c r="A972" s="347" t="s">
        <v>870</v>
      </c>
      <c r="B972" s="348"/>
      <c r="C972" s="348"/>
      <c r="D972" s="349"/>
      <c r="E972" s="348"/>
      <c r="F972" s="345"/>
      <c r="G972" s="346"/>
      <c r="H972" s="348">
        <v>664.91521</v>
      </c>
      <c r="I972" s="345"/>
      <c r="J972" s="349"/>
      <c r="K972" s="325"/>
      <c r="L972" s="325">
        <f t="shared" si="60"/>
        <v>664.91521</v>
      </c>
      <c r="M972" s="325"/>
      <c r="N972" s="363"/>
      <c r="O972" s="363"/>
      <c r="P972" s="364"/>
    </row>
    <row r="973" s="326" customFormat="1" ht="16.5" customHeight="1" spans="1:16">
      <c r="A973" s="347" t="s">
        <v>871</v>
      </c>
      <c r="B973" s="348">
        <v>6086</v>
      </c>
      <c r="C973" s="348">
        <v>620</v>
      </c>
      <c r="D973" s="349">
        <f>C973/B973*100</f>
        <v>10.1873151495235</v>
      </c>
      <c r="E973" s="348">
        <v>74439</v>
      </c>
      <c r="F973" s="345">
        <f>C973-E973</f>
        <v>-73819</v>
      </c>
      <c r="G973" s="346">
        <f>F973/E973*100</f>
        <v>-99.1671032657612</v>
      </c>
      <c r="H973" s="348">
        <f>SUM(H974:H978)</f>
        <v>6115.993704</v>
      </c>
      <c r="I973" s="345">
        <f>H973-B973</f>
        <v>29.9937040000004</v>
      </c>
      <c r="J973" s="349">
        <f>I973/B973*100</f>
        <v>0.492831153466981</v>
      </c>
      <c r="K973" s="325"/>
      <c r="L973" s="325">
        <f t="shared" si="60"/>
        <v>-61055.4995489628</v>
      </c>
      <c r="M973" s="325"/>
      <c r="N973" s="363"/>
      <c r="O973" s="363"/>
      <c r="P973" s="364"/>
    </row>
    <row r="974" ht="16.5" customHeight="1" spans="1:16">
      <c r="A974" s="365" t="s">
        <v>155</v>
      </c>
      <c r="B974" s="348"/>
      <c r="C974" s="348">
        <v>0</v>
      </c>
      <c r="D974" s="349"/>
      <c r="E974" s="348"/>
      <c r="F974" s="345"/>
      <c r="G974" s="346"/>
      <c r="H974" s="348">
        <f>303.993904+15</f>
        <v>318.993904</v>
      </c>
      <c r="I974" s="345"/>
      <c r="J974" s="349"/>
      <c r="K974" s="325"/>
      <c r="L974" s="325">
        <f t="shared" si="60"/>
        <v>318.993904</v>
      </c>
      <c r="M974" s="325"/>
      <c r="N974" s="363"/>
      <c r="O974" s="363"/>
      <c r="P974" s="364"/>
    </row>
    <row r="975" ht="16.5" customHeight="1" spans="1:16">
      <c r="A975" s="365" t="s">
        <v>156</v>
      </c>
      <c r="B975" s="348"/>
      <c r="C975" s="348">
        <v>0</v>
      </c>
      <c r="D975" s="349"/>
      <c r="E975" s="348"/>
      <c r="F975" s="345"/>
      <c r="G975" s="346"/>
      <c r="H975" s="348">
        <v>445.9998</v>
      </c>
      <c r="I975" s="345"/>
      <c r="J975" s="349"/>
      <c r="K975" s="325"/>
      <c r="L975" s="325">
        <f t="shared" si="60"/>
        <v>445.9998</v>
      </c>
      <c r="M975" s="325"/>
      <c r="N975" s="363"/>
      <c r="O975" s="363"/>
      <c r="P975" s="364"/>
    </row>
    <row r="976" ht="16.5" hidden="1" customHeight="1" spans="1:16">
      <c r="A976" s="365" t="s">
        <v>157</v>
      </c>
      <c r="B976" s="348"/>
      <c r="C976" s="348"/>
      <c r="D976" s="349"/>
      <c r="E976" s="348"/>
      <c r="F976" s="345"/>
      <c r="G976" s="346"/>
      <c r="H976" s="348">
        <v>0</v>
      </c>
      <c r="I976" s="345"/>
      <c r="J976" s="349"/>
      <c r="K976" s="325"/>
      <c r="L976" s="325">
        <f t="shared" si="60"/>
        <v>0</v>
      </c>
      <c r="M976" s="325"/>
      <c r="N976" s="363"/>
      <c r="O976" s="363"/>
      <c r="P976" s="364"/>
    </row>
    <row r="977" ht="16.5" hidden="1" customHeight="1" spans="1:16">
      <c r="A977" s="365" t="s">
        <v>872</v>
      </c>
      <c r="B977" s="348"/>
      <c r="C977" s="348"/>
      <c r="D977" s="349"/>
      <c r="E977" s="348"/>
      <c r="F977" s="345"/>
      <c r="G977" s="346"/>
      <c r="H977" s="348">
        <v>0</v>
      </c>
      <c r="I977" s="345"/>
      <c r="J977" s="349"/>
      <c r="K977" s="325"/>
      <c r="L977" s="325">
        <f t="shared" si="60"/>
        <v>0</v>
      </c>
      <c r="M977" s="325"/>
      <c r="N977" s="363"/>
      <c r="O977" s="363"/>
      <c r="P977" s="364"/>
    </row>
    <row r="978" ht="16.5" customHeight="1" spans="1:16">
      <c r="A978" s="365" t="s">
        <v>873</v>
      </c>
      <c r="B978" s="348"/>
      <c r="C978" s="348"/>
      <c r="D978" s="349"/>
      <c r="E978" s="348"/>
      <c r="F978" s="345"/>
      <c r="G978" s="346"/>
      <c r="H978" s="348">
        <v>5351</v>
      </c>
      <c r="I978" s="345"/>
      <c r="J978" s="349"/>
      <c r="K978" s="325"/>
      <c r="L978" s="325">
        <f t="shared" si="60"/>
        <v>5351</v>
      </c>
      <c r="M978" s="325"/>
      <c r="N978" s="363"/>
      <c r="O978" s="363"/>
      <c r="P978" s="364"/>
    </row>
    <row r="979" s="326" customFormat="1" ht="16.5" customHeight="1" spans="1:16">
      <c r="A979" s="347" t="s">
        <v>874</v>
      </c>
      <c r="B979" s="348">
        <v>1817</v>
      </c>
      <c r="C979" s="348">
        <v>59834</v>
      </c>
      <c r="D979" s="349">
        <f>C979/B979*100</f>
        <v>3293.01045679692</v>
      </c>
      <c r="E979" s="348">
        <v>22105</v>
      </c>
      <c r="F979" s="345">
        <f>C979-E979</f>
        <v>37729</v>
      </c>
      <c r="G979" s="346">
        <f>F979/E979*100</f>
        <v>170.680841438589</v>
      </c>
      <c r="H979" s="348">
        <f>SUM(H980:H986)</f>
        <v>8498</v>
      </c>
      <c r="I979" s="345">
        <f>H979-B979</f>
        <v>6681</v>
      </c>
      <c r="J979" s="349">
        <f>I979/B979*100</f>
        <v>367.694001100715</v>
      </c>
      <c r="K979" s="325"/>
      <c r="L979" s="325">
        <f t="shared" si="60"/>
        <v>118390.385299336</v>
      </c>
      <c r="M979" s="325"/>
      <c r="N979" s="363"/>
      <c r="O979" s="363"/>
      <c r="P979" s="364"/>
    </row>
    <row r="980" ht="16.5" customHeight="1" spans="1:16">
      <c r="A980" s="365" t="s">
        <v>155</v>
      </c>
      <c r="B980" s="348"/>
      <c r="C980" s="348">
        <v>0</v>
      </c>
      <c r="D980" s="349"/>
      <c r="E980" s="348"/>
      <c r="F980" s="345"/>
      <c r="G980" s="346"/>
      <c r="H980" s="348">
        <v>103</v>
      </c>
      <c r="I980" s="345"/>
      <c r="J980" s="349"/>
      <c r="K980" s="325"/>
      <c r="L980" s="325">
        <f t="shared" si="60"/>
        <v>103</v>
      </c>
      <c r="M980" s="325"/>
      <c r="N980" s="363"/>
      <c r="O980" s="363"/>
      <c r="P980" s="364"/>
    </row>
    <row r="981" ht="16.5" hidden="1" customHeight="1" spans="1:16">
      <c r="A981" s="365" t="s">
        <v>156</v>
      </c>
      <c r="B981" s="348"/>
      <c r="C981" s="348">
        <v>0</v>
      </c>
      <c r="D981" s="349"/>
      <c r="E981" s="348"/>
      <c r="F981" s="345"/>
      <c r="G981" s="346"/>
      <c r="H981" s="348">
        <v>0</v>
      </c>
      <c r="I981" s="345"/>
      <c r="J981" s="349"/>
      <c r="K981" s="325"/>
      <c r="L981" s="325">
        <f t="shared" si="60"/>
        <v>0</v>
      </c>
      <c r="M981" s="325"/>
      <c r="N981" s="363"/>
      <c r="O981" s="363"/>
      <c r="P981" s="364"/>
    </row>
    <row r="982" ht="16.5" hidden="1" customHeight="1" spans="1:16">
      <c r="A982" s="365" t="s">
        <v>157</v>
      </c>
      <c r="B982" s="348"/>
      <c r="C982" s="348">
        <v>0</v>
      </c>
      <c r="D982" s="349"/>
      <c r="E982" s="348"/>
      <c r="F982" s="345"/>
      <c r="G982" s="346"/>
      <c r="H982" s="348">
        <v>0</v>
      </c>
      <c r="I982" s="345"/>
      <c r="J982" s="349"/>
      <c r="K982" s="325"/>
      <c r="L982" s="325">
        <f t="shared" si="60"/>
        <v>0</v>
      </c>
      <c r="M982" s="325"/>
      <c r="N982" s="363"/>
      <c r="O982" s="363"/>
      <c r="P982" s="364"/>
    </row>
    <row r="983" ht="16.5" hidden="1" customHeight="1" spans="1:16">
      <c r="A983" s="365" t="s">
        <v>875</v>
      </c>
      <c r="B983" s="348"/>
      <c r="C983" s="348"/>
      <c r="D983" s="349"/>
      <c r="E983" s="348"/>
      <c r="F983" s="345"/>
      <c r="G983" s="346"/>
      <c r="H983" s="348">
        <v>0</v>
      </c>
      <c r="I983" s="345"/>
      <c r="J983" s="349"/>
      <c r="K983" s="325"/>
      <c r="L983" s="325">
        <f t="shared" si="60"/>
        <v>0</v>
      </c>
      <c r="M983" s="325"/>
      <c r="N983" s="363"/>
      <c r="O983" s="363"/>
      <c r="P983" s="364"/>
    </row>
    <row r="984" ht="16.5" customHeight="1" spans="1:16">
      <c r="A984" s="347" t="s">
        <v>876</v>
      </c>
      <c r="B984" s="348"/>
      <c r="C984" s="348"/>
      <c r="D984" s="349"/>
      <c r="E984" s="348"/>
      <c r="F984" s="345"/>
      <c r="G984" s="346"/>
      <c r="H984" s="348">
        <f>15+6800</f>
        <v>6815</v>
      </c>
      <c r="I984" s="345"/>
      <c r="J984" s="349"/>
      <c r="K984" s="325"/>
      <c r="L984" s="325">
        <f t="shared" si="60"/>
        <v>6815</v>
      </c>
      <c r="M984" s="325"/>
      <c r="N984" s="363"/>
      <c r="O984" s="363"/>
      <c r="P984" s="364"/>
    </row>
    <row r="985" ht="16.5" hidden="1" customHeight="1" spans="1:16">
      <c r="A985" s="347" t="s">
        <v>877</v>
      </c>
      <c r="B985" s="348"/>
      <c r="C985" s="348"/>
      <c r="D985" s="349"/>
      <c r="E985" s="348"/>
      <c r="F985" s="345"/>
      <c r="G985" s="346"/>
      <c r="H985" s="348">
        <v>0</v>
      </c>
      <c r="I985" s="345"/>
      <c r="J985" s="349"/>
      <c r="K985" s="325"/>
      <c r="L985" s="325">
        <f t="shared" si="60"/>
        <v>0</v>
      </c>
      <c r="M985" s="325"/>
      <c r="N985" s="363"/>
      <c r="O985" s="363"/>
      <c r="P985" s="364"/>
    </row>
    <row r="986" ht="16.5" customHeight="1" spans="1:16">
      <c r="A986" s="347" t="s">
        <v>878</v>
      </c>
      <c r="B986" s="348"/>
      <c r="C986" s="348"/>
      <c r="D986" s="349"/>
      <c r="E986" s="348"/>
      <c r="F986" s="345"/>
      <c r="G986" s="346"/>
      <c r="H986" s="348">
        <v>1580</v>
      </c>
      <c r="I986" s="345"/>
      <c r="J986" s="349"/>
      <c r="K986" s="325"/>
      <c r="L986" s="325">
        <f t="shared" si="60"/>
        <v>1580</v>
      </c>
      <c r="M986" s="325"/>
      <c r="N986" s="363"/>
      <c r="O986" s="363"/>
      <c r="P986" s="364"/>
    </row>
    <row r="987" s="326" customFormat="1" ht="16.5" customHeight="1" spans="1:16">
      <c r="A987" s="347" t="s">
        <v>879</v>
      </c>
      <c r="B987" s="348">
        <v>5151</v>
      </c>
      <c r="C987" s="348">
        <v>54627</v>
      </c>
      <c r="D987" s="349">
        <f>C987/B987*100</f>
        <v>1060.51252184042</v>
      </c>
      <c r="E987" s="348">
        <v>87109</v>
      </c>
      <c r="F987" s="345">
        <f>C987-E987</f>
        <v>-32482</v>
      </c>
      <c r="G987" s="346">
        <f>F987/E987*100</f>
        <v>-37.2889138894948</v>
      </c>
      <c r="H987" s="348">
        <f>SUM(H988:H992)</f>
        <v>6311</v>
      </c>
      <c r="I987" s="345">
        <f>H987-B987</f>
        <v>1160</v>
      </c>
      <c r="J987" s="349">
        <f>I987/B987*100</f>
        <v>22.5198990487284</v>
      </c>
      <c r="K987" s="325"/>
      <c r="L987" s="325">
        <f t="shared" si="60"/>
        <v>35812.7435069997</v>
      </c>
      <c r="M987" s="325"/>
      <c r="N987" s="363"/>
      <c r="O987" s="363"/>
      <c r="P987" s="364"/>
    </row>
    <row r="988" s="327" customFormat="1" ht="16.5" hidden="1" customHeight="1" spans="1:16">
      <c r="A988" s="347" t="s">
        <v>880</v>
      </c>
      <c r="B988" s="348"/>
      <c r="C988" s="348">
        <v>0</v>
      </c>
      <c r="D988" s="349"/>
      <c r="E988" s="348"/>
      <c r="F988" s="345"/>
      <c r="G988" s="346"/>
      <c r="H988" s="348">
        <v>0</v>
      </c>
      <c r="I988" s="345"/>
      <c r="J988" s="349"/>
      <c r="K988" s="325"/>
      <c r="L988" s="325">
        <f t="shared" si="60"/>
        <v>0</v>
      </c>
      <c r="M988" s="325"/>
      <c r="N988" s="363"/>
      <c r="O988" s="363"/>
      <c r="P988" s="364"/>
    </row>
    <row r="989" s="327" customFormat="1" ht="16.5" hidden="1" customHeight="1" spans="1:16">
      <c r="A989" s="347" t="s">
        <v>881</v>
      </c>
      <c r="B989" s="348"/>
      <c r="C989" s="348">
        <v>0</v>
      </c>
      <c r="D989" s="349"/>
      <c r="E989" s="348"/>
      <c r="F989" s="345"/>
      <c r="G989" s="346"/>
      <c r="H989" s="348">
        <v>0</v>
      </c>
      <c r="I989" s="345"/>
      <c r="J989" s="349"/>
      <c r="K989" s="325"/>
      <c r="L989" s="325">
        <f t="shared" si="60"/>
        <v>0</v>
      </c>
      <c r="M989" s="325"/>
      <c r="N989" s="363"/>
      <c r="O989" s="363"/>
      <c r="P989" s="364"/>
    </row>
    <row r="990" s="327" customFormat="1" ht="16.5" hidden="1" customHeight="1" spans="1:16">
      <c r="A990" s="347" t="s">
        <v>882</v>
      </c>
      <c r="B990" s="348"/>
      <c r="C990" s="348">
        <v>0</v>
      </c>
      <c r="D990" s="349"/>
      <c r="E990" s="348"/>
      <c r="F990" s="345"/>
      <c r="G990" s="346"/>
      <c r="H990" s="348">
        <v>0</v>
      </c>
      <c r="I990" s="345"/>
      <c r="J990" s="349"/>
      <c r="K990" s="325"/>
      <c r="L990" s="325">
        <f t="shared" si="60"/>
        <v>0</v>
      </c>
      <c r="M990" s="325"/>
      <c r="N990" s="363"/>
      <c r="O990" s="363"/>
      <c r="P990" s="364"/>
    </row>
    <row r="991" s="327" customFormat="1" ht="16.5" hidden="1" customHeight="1" spans="1:16">
      <c r="A991" s="347" t="s">
        <v>883</v>
      </c>
      <c r="B991" s="348"/>
      <c r="C991" s="348">
        <v>0</v>
      </c>
      <c r="D991" s="349"/>
      <c r="E991" s="348"/>
      <c r="F991" s="345"/>
      <c r="G991" s="346"/>
      <c r="H991" s="348">
        <v>0</v>
      </c>
      <c r="I991" s="345"/>
      <c r="J991" s="349"/>
      <c r="K991" s="325"/>
      <c r="L991" s="325">
        <f t="shared" si="60"/>
        <v>0</v>
      </c>
      <c r="M991" s="325"/>
      <c r="N991" s="363"/>
      <c r="O991" s="363"/>
      <c r="P991" s="364"/>
    </row>
    <row r="992" s="327" customFormat="1" ht="16.5" customHeight="1" spans="1:16">
      <c r="A992" s="347" t="s">
        <v>884</v>
      </c>
      <c r="B992" s="348"/>
      <c r="C992" s="348"/>
      <c r="D992" s="349"/>
      <c r="E992" s="348"/>
      <c r="F992" s="345"/>
      <c r="G992" s="346"/>
      <c r="H992" s="348">
        <v>6311</v>
      </c>
      <c r="I992" s="345"/>
      <c r="J992" s="349"/>
      <c r="K992" s="325"/>
      <c r="L992" s="325">
        <f t="shared" si="60"/>
        <v>6311</v>
      </c>
      <c r="M992" s="325"/>
      <c r="N992" s="363"/>
      <c r="O992" s="363"/>
      <c r="P992" s="364"/>
    </row>
    <row r="993" s="325" customFormat="1" ht="16.5" customHeight="1" spans="1:16">
      <c r="A993" s="344" t="s">
        <v>885</v>
      </c>
      <c r="B993" s="345">
        <f>B994+B1004+B1010</f>
        <v>10442</v>
      </c>
      <c r="C993" s="345">
        <f>C994+C1004+C1010</f>
        <v>8251</v>
      </c>
      <c r="D993" s="349">
        <f>C993/B993*100</f>
        <v>79.0174296111856</v>
      </c>
      <c r="E993" s="345">
        <f>E994+E1004+E1010</f>
        <v>10141</v>
      </c>
      <c r="F993" s="345">
        <f>C993-E993</f>
        <v>-1890</v>
      </c>
      <c r="G993" s="346">
        <f>F993/E993*100</f>
        <v>-18.6372152647668</v>
      </c>
      <c r="H993" s="345">
        <f>H994+H1004+H1010</f>
        <v>10351.622303</v>
      </c>
      <c r="I993" s="345">
        <f>H993-B993</f>
        <v>-90.3776969999999</v>
      </c>
      <c r="J993" s="349">
        <f>I993/B993*100</f>
        <v>-0.86552094426355</v>
      </c>
      <c r="L993" s="325">
        <f t="shared" si="60"/>
        <v>27123.7592994022</v>
      </c>
      <c r="N993" s="362"/>
      <c r="O993" s="362"/>
      <c r="P993" s="364"/>
    </row>
    <row r="994" s="325" customFormat="1" ht="16.5" customHeight="1" spans="1:16">
      <c r="A994" s="365" t="s">
        <v>886</v>
      </c>
      <c r="B994" s="348">
        <v>8775</v>
      </c>
      <c r="C994" s="348">
        <v>7156</v>
      </c>
      <c r="D994" s="349">
        <f>C994/B994*100</f>
        <v>81.5498575498575</v>
      </c>
      <c r="E994" s="348">
        <v>8375</v>
      </c>
      <c r="F994" s="345">
        <f>C994-E994</f>
        <v>-1219</v>
      </c>
      <c r="G994" s="346">
        <f>F994/E994*100</f>
        <v>-14.555223880597</v>
      </c>
      <c r="H994" s="348">
        <f>SUM(H995:H1003)</f>
        <v>8702.922303</v>
      </c>
      <c r="I994" s="345">
        <f>H994-B994</f>
        <v>-72.0776970000006</v>
      </c>
      <c r="J994" s="349">
        <f>I994/B994*100</f>
        <v>-0.821398256410264</v>
      </c>
      <c r="L994" s="325">
        <f t="shared" si="60"/>
        <v>23409.0178414128</v>
      </c>
      <c r="N994" s="363"/>
      <c r="O994" s="363"/>
      <c r="P994" s="364"/>
    </row>
    <row r="995" s="325" customFormat="1" ht="16.5" customHeight="1" spans="1:16">
      <c r="A995" s="365" t="s">
        <v>155</v>
      </c>
      <c r="B995" s="348"/>
      <c r="C995" s="348"/>
      <c r="D995" s="349"/>
      <c r="E995" s="348"/>
      <c r="F995" s="345"/>
      <c r="G995" s="346"/>
      <c r="H995" s="348">
        <f>1937.922303-155</f>
        <v>1782.922303</v>
      </c>
      <c r="I995" s="345"/>
      <c r="J995" s="349"/>
      <c r="L995" s="325">
        <f t="shared" si="60"/>
        <v>1782.922303</v>
      </c>
      <c r="N995" s="363"/>
      <c r="O995" s="363"/>
      <c r="P995" s="364"/>
    </row>
    <row r="996" s="325" customFormat="1" ht="16.5" hidden="1" customHeight="1" spans="1:16">
      <c r="A996" s="365" t="s">
        <v>156</v>
      </c>
      <c r="B996" s="348"/>
      <c r="C996" s="348"/>
      <c r="D996" s="349"/>
      <c r="E996" s="348"/>
      <c r="F996" s="345"/>
      <c r="G996" s="346"/>
      <c r="H996" s="348">
        <v>0</v>
      </c>
      <c r="I996" s="345"/>
      <c r="J996" s="349"/>
      <c r="L996" s="325">
        <f t="shared" si="60"/>
        <v>0</v>
      </c>
      <c r="N996" s="363"/>
      <c r="O996" s="363"/>
      <c r="P996" s="364"/>
    </row>
    <row r="997" s="325" customFormat="1" ht="16.5" hidden="1" customHeight="1" spans="1:16">
      <c r="A997" s="365" t="s">
        <v>157</v>
      </c>
      <c r="B997" s="348"/>
      <c r="C997" s="348"/>
      <c r="D997" s="349"/>
      <c r="E997" s="348"/>
      <c r="F997" s="345"/>
      <c r="G997" s="346"/>
      <c r="H997" s="348">
        <v>0</v>
      </c>
      <c r="I997" s="345"/>
      <c r="J997" s="349"/>
      <c r="L997" s="325">
        <f t="shared" si="60"/>
        <v>0</v>
      </c>
      <c r="N997" s="363"/>
      <c r="O997" s="363"/>
      <c r="P997" s="364"/>
    </row>
    <row r="998" s="325" customFormat="1" ht="16.5" hidden="1" customHeight="1" spans="1:16">
      <c r="A998" s="365" t="s">
        <v>887</v>
      </c>
      <c r="B998" s="348"/>
      <c r="C998" s="348">
        <v>0</v>
      </c>
      <c r="D998" s="349"/>
      <c r="E998" s="348"/>
      <c r="F998" s="345"/>
      <c r="G998" s="346"/>
      <c r="H998" s="348">
        <v>0</v>
      </c>
      <c r="I998" s="345"/>
      <c r="J998" s="349"/>
      <c r="L998" s="325">
        <f t="shared" si="60"/>
        <v>0</v>
      </c>
      <c r="N998" s="363"/>
      <c r="O998" s="363"/>
      <c r="P998" s="364"/>
    </row>
    <row r="999" s="325" customFormat="1" ht="16.5" hidden="1" customHeight="1" spans="1:16">
      <c r="A999" s="365" t="s">
        <v>888</v>
      </c>
      <c r="B999" s="348"/>
      <c r="C999" s="348">
        <v>0</v>
      </c>
      <c r="D999" s="349"/>
      <c r="E999" s="348"/>
      <c r="F999" s="345"/>
      <c r="G999" s="346"/>
      <c r="H999" s="348">
        <v>0</v>
      </c>
      <c r="I999" s="345"/>
      <c r="J999" s="349"/>
      <c r="L999" s="325">
        <f t="shared" si="60"/>
        <v>0</v>
      </c>
      <c r="N999" s="363"/>
      <c r="O999" s="363"/>
      <c r="P999" s="364"/>
    </row>
    <row r="1000" s="325" customFormat="1" ht="16.5" hidden="1" customHeight="1" spans="1:16">
      <c r="A1000" s="365" t="s">
        <v>889</v>
      </c>
      <c r="B1000" s="348"/>
      <c r="C1000" s="348">
        <v>0</v>
      </c>
      <c r="D1000" s="349"/>
      <c r="E1000" s="348"/>
      <c r="F1000" s="345"/>
      <c r="G1000" s="346"/>
      <c r="H1000" s="348">
        <v>0</v>
      </c>
      <c r="I1000" s="345"/>
      <c r="J1000" s="349"/>
      <c r="L1000" s="325">
        <f t="shared" si="60"/>
        <v>0</v>
      </c>
      <c r="N1000" s="363"/>
      <c r="O1000" s="363"/>
      <c r="P1000" s="364"/>
    </row>
    <row r="1001" s="325" customFormat="1" ht="16.5" customHeight="1" spans="1:16">
      <c r="A1001" s="365" t="s">
        <v>890</v>
      </c>
      <c r="B1001" s="348"/>
      <c r="C1001" s="348">
        <v>0</v>
      </c>
      <c r="D1001" s="349"/>
      <c r="E1001" s="348"/>
      <c r="F1001" s="345"/>
      <c r="G1001" s="346"/>
      <c r="H1001" s="348">
        <v>155</v>
      </c>
      <c r="I1001" s="345"/>
      <c r="J1001" s="349"/>
      <c r="L1001" s="325">
        <f t="shared" si="60"/>
        <v>155</v>
      </c>
      <c r="N1001" s="363"/>
      <c r="O1001" s="363"/>
      <c r="P1001" s="364"/>
    </row>
    <row r="1002" s="325" customFormat="1" ht="16.5" hidden="1" customHeight="1" spans="1:16">
      <c r="A1002" s="365" t="s">
        <v>164</v>
      </c>
      <c r="B1002" s="348"/>
      <c r="C1002" s="348">
        <v>0</v>
      </c>
      <c r="D1002" s="349"/>
      <c r="E1002" s="348"/>
      <c r="F1002" s="345"/>
      <c r="G1002" s="346"/>
      <c r="H1002" s="348">
        <v>0</v>
      </c>
      <c r="I1002" s="345"/>
      <c r="J1002" s="349"/>
      <c r="L1002" s="325">
        <f t="shared" si="60"/>
        <v>0</v>
      </c>
      <c r="N1002" s="363"/>
      <c r="O1002" s="363"/>
      <c r="P1002" s="364"/>
    </row>
    <row r="1003" s="325" customFormat="1" ht="16.5" customHeight="1" spans="1:16">
      <c r="A1003" s="365" t="s">
        <v>891</v>
      </c>
      <c r="B1003" s="348"/>
      <c r="C1003" s="348"/>
      <c r="D1003" s="349"/>
      <c r="E1003" s="348"/>
      <c r="F1003" s="345"/>
      <c r="G1003" s="346"/>
      <c r="H1003" s="348">
        <v>6765</v>
      </c>
      <c r="I1003" s="345"/>
      <c r="J1003" s="349"/>
      <c r="L1003" s="325">
        <f t="shared" si="60"/>
        <v>6765</v>
      </c>
      <c r="N1003" s="363"/>
      <c r="O1003" s="363"/>
      <c r="P1003" s="364"/>
    </row>
    <row r="1004" s="325" customFormat="1" ht="16.5" customHeight="1" spans="1:16">
      <c r="A1004" s="365" t="s">
        <v>892</v>
      </c>
      <c r="B1004" s="348">
        <v>1649</v>
      </c>
      <c r="C1004" s="348">
        <v>708</v>
      </c>
      <c r="D1004" s="349">
        <f>C1004/B1004*100</f>
        <v>42.9351121892056</v>
      </c>
      <c r="E1004" s="348">
        <v>1515</v>
      </c>
      <c r="F1004" s="345">
        <f>C1004-E1004</f>
        <v>-807</v>
      </c>
      <c r="G1004" s="346">
        <f>F1004/E1004*100</f>
        <v>-53.2673267326733</v>
      </c>
      <c r="H1004" s="348">
        <f>SUM(H1005:H1009)</f>
        <v>1648.7</v>
      </c>
      <c r="I1004" s="345">
        <f>H1004-B1004</f>
        <v>-0.299999999999955</v>
      </c>
      <c r="J1004" s="349">
        <f>I1004/B1004*100</f>
        <v>-0.0181928441479657</v>
      </c>
      <c r="L1004" s="325">
        <f t="shared" si="60"/>
        <v>3188.04959261238</v>
      </c>
      <c r="N1004" s="363"/>
      <c r="O1004" s="363"/>
      <c r="P1004" s="364"/>
    </row>
    <row r="1005" s="325" customFormat="1" ht="16.5" hidden="1" customHeight="1" spans="1:16">
      <c r="A1005" s="365" t="s">
        <v>155</v>
      </c>
      <c r="B1005" s="348"/>
      <c r="C1005" s="348">
        <v>0</v>
      </c>
      <c r="D1005" s="349"/>
      <c r="E1005" s="348"/>
      <c r="F1005" s="345"/>
      <c r="G1005" s="346"/>
      <c r="H1005" s="348">
        <v>0</v>
      </c>
      <c r="I1005" s="345"/>
      <c r="J1005" s="349"/>
      <c r="L1005" s="325">
        <f t="shared" si="60"/>
        <v>0</v>
      </c>
      <c r="N1005" s="363"/>
      <c r="O1005" s="363"/>
      <c r="P1005" s="364"/>
    </row>
    <row r="1006" s="325" customFormat="1" ht="16.5" hidden="1" customHeight="1" spans="1:16">
      <c r="A1006" s="365" t="s">
        <v>156</v>
      </c>
      <c r="B1006" s="348"/>
      <c r="C1006" s="348">
        <v>0</v>
      </c>
      <c r="D1006" s="349"/>
      <c r="E1006" s="348"/>
      <c r="F1006" s="345"/>
      <c r="G1006" s="346"/>
      <c r="H1006" s="348">
        <v>0</v>
      </c>
      <c r="I1006" s="345"/>
      <c r="J1006" s="349"/>
      <c r="L1006" s="325">
        <f t="shared" si="60"/>
        <v>0</v>
      </c>
      <c r="N1006" s="363"/>
      <c r="O1006" s="363"/>
      <c r="P1006" s="364"/>
    </row>
    <row r="1007" s="325" customFormat="1" ht="16.5" hidden="1" customHeight="1" spans="1:16">
      <c r="A1007" s="365" t="s">
        <v>157</v>
      </c>
      <c r="B1007" s="348"/>
      <c r="C1007" s="348">
        <v>0</v>
      </c>
      <c r="D1007" s="349"/>
      <c r="E1007" s="348"/>
      <c r="F1007" s="345"/>
      <c r="G1007" s="346"/>
      <c r="H1007" s="348">
        <v>0</v>
      </c>
      <c r="I1007" s="345"/>
      <c r="J1007" s="349"/>
      <c r="L1007" s="325">
        <f t="shared" si="60"/>
        <v>0</v>
      </c>
      <c r="N1007" s="363"/>
      <c r="O1007" s="363"/>
      <c r="P1007" s="364"/>
    </row>
    <row r="1008" s="325" customFormat="1" ht="16.5" hidden="1" customHeight="1" spans="1:16">
      <c r="A1008" s="365" t="s">
        <v>893</v>
      </c>
      <c r="B1008" s="348"/>
      <c r="C1008" s="348">
        <v>0</v>
      </c>
      <c r="D1008" s="349"/>
      <c r="E1008" s="348"/>
      <c r="F1008" s="345"/>
      <c r="G1008" s="346"/>
      <c r="H1008" s="348">
        <v>0</v>
      </c>
      <c r="I1008" s="345"/>
      <c r="J1008" s="349"/>
      <c r="L1008" s="325">
        <f t="shared" si="60"/>
        <v>0</v>
      </c>
      <c r="N1008" s="363"/>
      <c r="O1008" s="363"/>
      <c r="P1008" s="364"/>
    </row>
    <row r="1009" s="325" customFormat="1" ht="16.5" customHeight="1" spans="1:16">
      <c r="A1009" s="365" t="s">
        <v>894</v>
      </c>
      <c r="B1009" s="348"/>
      <c r="C1009" s="348"/>
      <c r="D1009" s="349"/>
      <c r="E1009" s="348"/>
      <c r="F1009" s="345"/>
      <c r="G1009" s="346"/>
      <c r="H1009" s="348">
        <v>1648.7</v>
      </c>
      <c r="I1009" s="345"/>
      <c r="J1009" s="349"/>
      <c r="L1009" s="325">
        <f t="shared" si="60"/>
        <v>1648.7</v>
      </c>
      <c r="N1009" s="363"/>
      <c r="O1009" s="363"/>
      <c r="P1009" s="364"/>
    </row>
    <row r="1010" s="325" customFormat="1" ht="16.5" customHeight="1" spans="1:16">
      <c r="A1010" s="365" t="s">
        <v>895</v>
      </c>
      <c r="B1010" s="348">
        <v>18</v>
      </c>
      <c r="C1010" s="348">
        <v>387</v>
      </c>
      <c r="D1010" s="349">
        <f>C1010/B1010*100</f>
        <v>2150</v>
      </c>
      <c r="E1010" s="348">
        <v>251</v>
      </c>
      <c r="F1010" s="345">
        <f>C1010-E1010</f>
        <v>136</v>
      </c>
      <c r="G1010" s="346">
        <f>F1010/E1010*100</f>
        <v>54.1832669322709</v>
      </c>
      <c r="H1010" s="348">
        <f>SUM(H1011:H1012)</f>
        <v>0</v>
      </c>
      <c r="I1010" s="345">
        <f t="shared" ref="I1010:I1014" si="61">H1010-B1010</f>
        <v>-18</v>
      </c>
      <c r="J1010" s="349">
        <f>I1010/B1010*100</f>
        <v>-100</v>
      </c>
      <c r="L1010" s="325">
        <f t="shared" si="60"/>
        <v>2627.18326693227</v>
      </c>
      <c r="N1010" s="363"/>
      <c r="O1010" s="363"/>
      <c r="P1010" s="364"/>
    </row>
    <row r="1011" s="325" customFormat="1" ht="16.5" hidden="1" customHeight="1" spans="1:16">
      <c r="A1011" s="365" t="s">
        <v>896</v>
      </c>
      <c r="B1011" s="348"/>
      <c r="C1011" s="348">
        <v>0</v>
      </c>
      <c r="D1011" s="349"/>
      <c r="E1011" s="348"/>
      <c r="F1011" s="345"/>
      <c r="G1011" s="346"/>
      <c r="H1011" s="348"/>
      <c r="I1011" s="345"/>
      <c r="J1011" s="349"/>
      <c r="L1011" s="325">
        <f t="shared" si="60"/>
        <v>0</v>
      </c>
      <c r="N1011" s="363"/>
      <c r="O1011" s="363"/>
      <c r="P1011" s="364"/>
    </row>
    <row r="1012" s="325" customFormat="1" ht="16.5" hidden="1" customHeight="1" spans="1:16">
      <c r="A1012" s="365" t="s">
        <v>897</v>
      </c>
      <c r="B1012" s="348"/>
      <c r="C1012" s="348"/>
      <c r="D1012" s="349"/>
      <c r="E1012" s="348"/>
      <c r="F1012" s="345"/>
      <c r="G1012" s="346"/>
      <c r="H1012" s="348"/>
      <c r="I1012" s="345"/>
      <c r="J1012" s="349"/>
      <c r="L1012" s="325">
        <f t="shared" si="60"/>
        <v>0</v>
      </c>
      <c r="N1012" s="363"/>
      <c r="O1012" s="363"/>
      <c r="P1012" s="364"/>
    </row>
    <row r="1013" s="325" customFormat="1" ht="16.5" customHeight="1" spans="1:16">
      <c r="A1013" s="344" t="s">
        <v>898</v>
      </c>
      <c r="B1013" s="345">
        <f>B1014+B1021+B1027+B1033+B1034</f>
        <v>3146</v>
      </c>
      <c r="C1013" s="345">
        <f>C1014+C1021+C1027+C1033+C1034</f>
        <v>9064</v>
      </c>
      <c r="D1013" s="349">
        <f>C1013/B1013*100</f>
        <v>288.111888111888</v>
      </c>
      <c r="E1013" s="345">
        <f>E1014+E1021+E1027+E1033+E1034</f>
        <v>23540</v>
      </c>
      <c r="F1013" s="345">
        <f>C1013-E1013</f>
        <v>-14476</v>
      </c>
      <c r="G1013" s="346">
        <f>F1013/E1013*100</f>
        <v>-61.4953271028037</v>
      </c>
      <c r="H1013" s="345">
        <f>H1014+H1021+H1027+H1033+H1034</f>
        <v>3239</v>
      </c>
      <c r="I1013" s="345">
        <f t="shared" si="61"/>
        <v>93</v>
      </c>
      <c r="J1013" s="349">
        <f>I1013/B1013*100</f>
        <v>2.95613477431659</v>
      </c>
      <c r="L1013" s="325">
        <f t="shared" si="60"/>
        <v>1295.5726957834</v>
      </c>
      <c r="N1013" s="362"/>
      <c r="O1013" s="362"/>
      <c r="P1013" s="364"/>
    </row>
    <row r="1014" s="325" customFormat="1" ht="16.5" customHeight="1" spans="1:16">
      <c r="A1014" s="347" t="s">
        <v>899</v>
      </c>
      <c r="B1014" s="348">
        <v>55</v>
      </c>
      <c r="C1014" s="348">
        <v>1165</v>
      </c>
      <c r="D1014" s="349">
        <f>C1014/B1014*100</f>
        <v>2118.18181818182</v>
      </c>
      <c r="E1014" s="348">
        <v>465</v>
      </c>
      <c r="F1014" s="345">
        <f>C1014-E1014</f>
        <v>700</v>
      </c>
      <c r="G1014" s="346">
        <f>F1014/E1014*100</f>
        <v>150.537634408602</v>
      </c>
      <c r="H1014" s="348">
        <f>SUM(H1015:H1020)</f>
        <v>50</v>
      </c>
      <c r="I1014" s="345">
        <f t="shared" si="61"/>
        <v>-5</v>
      </c>
      <c r="J1014" s="349">
        <f>I1014/B1014*100</f>
        <v>-9.09090909090909</v>
      </c>
      <c r="L1014" s="325">
        <f t="shared" si="60"/>
        <v>4224.62854349951</v>
      </c>
      <c r="N1014" s="363"/>
      <c r="O1014" s="363"/>
      <c r="P1014" s="364"/>
    </row>
    <row r="1015" s="325" customFormat="1" ht="16.5" customHeight="1" spans="1:16">
      <c r="A1015" s="347" t="s">
        <v>155</v>
      </c>
      <c r="B1015" s="348"/>
      <c r="C1015" s="348"/>
      <c r="D1015" s="349"/>
      <c r="E1015" s="348"/>
      <c r="F1015" s="345"/>
      <c r="G1015" s="346"/>
      <c r="H1015" s="348">
        <v>20</v>
      </c>
      <c r="I1015" s="345"/>
      <c r="J1015" s="349"/>
      <c r="L1015" s="325">
        <f t="shared" si="60"/>
        <v>20</v>
      </c>
      <c r="N1015" s="363"/>
      <c r="O1015" s="363"/>
      <c r="P1015" s="364"/>
    </row>
    <row r="1016" s="325" customFormat="1" ht="16.5" hidden="1" customHeight="1" spans="1:16">
      <c r="A1016" s="347" t="s">
        <v>156</v>
      </c>
      <c r="B1016" s="348"/>
      <c r="C1016" s="348">
        <v>0</v>
      </c>
      <c r="D1016" s="349"/>
      <c r="E1016" s="348"/>
      <c r="F1016" s="345"/>
      <c r="G1016" s="346"/>
      <c r="H1016" s="348">
        <v>0</v>
      </c>
      <c r="I1016" s="345"/>
      <c r="J1016" s="349"/>
      <c r="L1016" s="325">
        <f t="shared" si="60"/>
        <v>0</v>
      </c>
      <c r="N1016" s="363"/>
      <c r="O1016" s="363"/>
      <c r="P1016" s="364"/>
    </row>
    <row r="1017" s="325" customFormat="1" ht="16.5" hidden="1" customHeight="1" spans="1:16">
      <c r="A1017" s="347" t="s">
        <v>157</v>
      </c>
      <c r="B1017" s="348"/>
      <c r="C1017" s="348">
        <v>0</v>
      </c>
      <c r="D1017" s="349"/>
      <c r="E1017" s="348"/>
      <c r="F1017" s="345"/>
      <c r="G1017" s="346"/>
      <c r="H1017" s="348">
        <v>0</v>
      </c>
      <c r="I1017" s="345"/>
      <c r="J1017" s="349"/>
      <c r="L1017" s="325">
        <f t="shared" si="60"/>
        <v>0</v>
      </c>
      <c r="N1017" s="363"/>
      <c r="O1017" s="363"/>
      <c r="P1017" s="364"/>
    </row>
    <row r="1018" s="325" customFormat="1" ht="16.5" hidden="1" customHeight="1" spans="1:16">
      <c r="A1018" s="347" t="s">
        <v>900</v>
      </c>
      <c r="B1018" s="348"/>
      <c r="C1018" s="348">
        <v>0</v>
      </c>
      <c r="D1018" s="349"/>
      <c r="E1018" s="348"/>
      <c r="F1018" s="345"/>
      <c r="G1018" s="346"/>
      <c r="H1018" s="348">
        <v>0</v>
      </c>
      <c r="I1018" s="345"/>
      <c r="J1018" s="349"/>
      <c r="L1018" s="325">
        <f t="shared" si="60"/>
        <v>0</v>
      </c>
      <c r="N1018" s="363"/>
      <c r="O1018" s="363"/>
      <c r="P1018" s="364"/>
    </row>
    <row r="1019" s="325" customFormat="1" ht="16.5" hidden="1" customHeight="1" spans="1:16">
      <c r="A1019" s="347" t="s">
        <v>164</v>
      </c>
      <c r="B1019" s="348"/>
      <c r="C1019" s="348">
        <v>0</v>
      </c>
      <c r="D1019" s="349"/>
      <c r="E1019" s="348"/>
      <c r="F1019" s="345"/>
      <c r="G1019" s="346"/>
      <c r="H1019" s="348">
        <v>0</v>
      </c>
      <c r="I1019" s="345"/>
      <c r="J1019" s="349"/>
      <c r="L1019" s="325">
        <f t="shared" si="60"/>
        <v>0</v>
      </c>
      <c r="N1019" s="363"/>
      <c r="O1019" s="363"/>
      <c r="P1019" s="364"/>
    </row>
    <row r="1020" s="325" customFormat="1" ht="16.5" customHeight="1" spans="1:16">
      <c r="A1020" s="347" t="s">
        <v>901</v>
      </c>
      <c r="B1020" s="348"/>
      <c r="C1020" s="348">
        <v>0</v>
      </c>
      <c r="D1020" s="349"/>
      <c r="E1020" s="348"/>
      <c r="F1020" s="345"/>
      <c r="G1020" s="346"/>
      <c r="H1020" s="348">
        <v>30</v>
      </c>
      <c r="I1020" s="345"/>
      <c r="J1020" s="349"/>
      <c r="L1020" s="325">
        <f t="shared" si="60"/>
        <v>30</v>
      </c>
      <c r="N1020" s="363"/>
      <c r="O1020" s="363"/>
      <c r="P1020" s="364"/>
    </row>
    <row r="1021" s="325" customFormat="1" ht="16.5" customHeight="1" spans="1:16">
      <c r="A1021" s="347" t="s">
        <v>902</v>
      </c>
      <c r="B1021" s="348"/>
      <c r="C1021" s="348">
        <v>49</v>
      </c>
      <c r="D1021" s="349"/>
      <c r="E1021" s="348">
        <v>35</v>
      </c>
      <c r="F1021" s="345">
        <f>C1021-E1021</f>
        <v>14</v>
      </c>
      <c r="G1021" s="346"/>
      <c r="H1021" s="348">
        <f>SUM(H1022:H1026)</f>
        <v>0</v>
      </c>
      <c r="I1021" s="345">
        <f>H1021-B1021</f>
        <v>0</v>
      </c>
      <c r="J1021" s="349"/>
      <c r="L1021" s="325">
        <f t="shared" si="60"/>
        <v>63</v>
      </c>
      <c r="N1021" s="363"/>
      <c r="O1021" s="363"/>
      <c r="P1021" s="364"/>
    </row>
    <row r="1022" s="325" customFormat="1" ht="16.5" hidden="1" customHeight="1" spans="1:16">
      <c r="A1022" s="347" t="s">
        <v>903</v>
      </c>
      <c r="B1022" s="348"/>
      <c r="C1022" s="348">
        <v>0</v>
      </c>
      <c r="D1022" s="349"/>
      <c r="E1022" s="348"/>
      <c r="F1022" s="345"/>
      <c r="G1022" s="346"/>
      <c r="H1022" s="348"/>
      <c r="I1022" s="345"/>
      <c r="J1022" s="349"/>
      <c r="L1022" s="325">
        <f t="shared" si="60"/>
        <v>0</v>
      </c>
      <c r="N1022" s="363"/>
      <c r="O1022" s="363"/>
      <c r="P1022" s="364"/>
    </row>
    <row r="1023" s="325" customFormat="1" ht="16.5" hidden="1" customHeight="1" spans="1:16">
      <c r="A1023" s="347" t="s">
        <v>904</v>
      </c>
      <c r="B1023" s="348"/>
      <c r="C1023" s="348">
        <v>0</v>
      </c>
      <c r="D1023" s="349"/>
      <c r="E1023" s="348"/>
      <c r="F1023" s="345"/>
      <c r="G1023" s="346"/>
      <c r="H1023" s="348"/>
      <c r="I1023" s="345"/>
      <c r="J1023" s="349"/>
      <c r="L1023" s="325">
        <f t="shared" si="60"/>
        <v>0</v>
      </c>
      <c r="N1023" s="363"/>
      <c r="O1023" s="363"/>
      <c r="P1023" s="364"/>
    </row>
    <row r="1024" s="325" customFormat="1" ht="16.5" hidden="1" customHeight="1" spans="1:16">
      <c r="A1024" s="347" t="s">
        <v>905</v>
      </c>
      <c r="B1024" s="348"/>
      <c r="C1024" s="348">
        <v>0</v>
      </c>
      <c r="D1024" s="349"/>
      <c r="E1024" s="348"/>
      <c r="F1024" s="345"/>
      <c r="G1024" s="346"/>
      <c r="H1024" s="348"/>
      <c r="I1024" s="345"/>
      <c r="J1024" s="349"/>
      <c r="L1024" s="325">
        <f t="shared" si="60"/>
        <v>0</v>
      </c>
      <c r="N1024" s="363"/>
      <c r="O1024" s="363"/>
      <c r="P1024" s="364"/>
    </row>
    <row r="1025" s="325" customFormat="1" ht="16.5" hidden="1" customHeight="1" spans="1:16">
      <c r="A1025" s="347" t="s">
        <v>906</v>
      </c>
      <c r="B1025" s="348"/>
      <c r="C1025" s="348">
        <v>0</v>
      </c>
      <c r="D1025" s="349"/>
      <c r="E1025" s="348"/>
      <c r="F1025" s="345"/>
      <c r="G1025" s="346"/>
      <c r="H1025" s="348"/>
      <c r="I1025" s="345"/>
      <c r="J1025" s="349"/>
      <c r="L1025" s="325">
        <f t="shared" si="60"/>
        <v>0</v>
      </c>
      <c r="N1025" s="363"/>
      <c r="O1025" s="363"/>
      <c r="P1025" s="364"/>
    </row>
    <row r="1026" s="325" customFormat="1" ht="16.5" hidden="1" customHeight="1" spans="1:16">
      <c r="A1026" s="347" t="s">
        <v>907</v>
      </c>
      <c r="B1026" s="348"/>
      <c r="C1026" s="348">
        <v>0</v>
      </c>
      <c r="D1026" s="349"/>
      <c r="E1026" s="348"/>
      <c r="F1026" s="345"/>
      <c r="G1026" s="346"/>
      <c r="H1026" s="348"/>
      <c r="I1026" s="345"/>
      <c r="J1026" s="349"/>
      <c r="L1026" s="325">
        <f t="shared" si="60"/>
        <v>0</v>
      </c>
      <c r="N1026" s="363"/>
      <c r="O1026" s="363"/>
      <c r="P1026" s="364"/>
    </row>
    <row r="1027" s="325" customFormat="1" ht="16.5" customHeight="1" spans="1:16">
      <c r="A1027" s="347" t="s">
        <v>908</v>
      </c>
      <c r="B1027" s="348">
        <v>3091</v>
      </c>
      <c r="C1027" s="348">
        <v>7532</v>
      </c>
      <c r="D1027" s="349">
        <f>C1027/B1027*100</f>
        <v>243.67518602394</v>
      </c>
      <c r="E1027" s="348">
        <v>22594</v>
      </c>
      <c r="F1027" s="345">
        <f>C1027-E1027</f>
        <v>-15062</v>
      </c>
      <c r="G1027" s="346">
        <f>F1027/E1027*100</f>
        <v>-66.6637160308046</v>
      </c>
      <c r="H1027" s="348">
        <f>SUM(H1028:H1032)</f>
        <v>3189</v>
      </c>
      <c r="I1027" s="345">
        <f>H1027-B1027</f>
        <v>98</v>
      </c>
      <c r="J1027" s="349">
        <f>I1027/B1027*100</f>
        <v>3.1704949854416</v>
      </c>
      <c r="L1027" s="325">
        <f t="shared" si="60"/>
        <v>-971.818035021423</v>
      </c>
      <c r="N1027" s="363"/>
      <c r="O1027" s="363"/>
      <c r="P1027" s="364"/>
    </row>
    <row r="1028" s="325" customFormat="1" ht="16.5" hidden="1" customHeight="1" spans="1:16">
      <c r="A1028" s="347" t="s">
        <v>909</v>
      </c>
      <c r="B1028" s="348"/>
      <c r="C1028" s="348">
        <v>0</v>
      </c>
      <c r="D1028" s="349"/>
      <c r="E1028" s="348"/>
      <c r="F1028" s="345"/>
      <c r="G1028" s="346"/>
      <c r="H1028" s="348">
        <v>0</v>
      </c>
      <c r="I1028" s="345"/>
      <c r="J1028" s="349"/>
      <c r="L1028" s="325">
        <f t="shared" si="60"/>
        <v>0</v>
      </c>
      <c r="N1028" s="363"/>
      <c r="O1028" s="363"/>
      <c r="P1028" s="364"/>
    </row>
    <row r="1029" s="325" customFormat="1" ht="16.5" customHeight="1" spans="1:16">
      <c r="A1029" s="347" t="s">
        <v>910</v>
      </c>
      <c r="B1029" s="348"/>
      <c r="C1029" s="348"/>
      <c r="D1029" s="349"/>
      <c r="E1029" s="348"/>
      <c r="F1029" s="345"/>
      <c r="G1029" s="346"/>
      <c r="H1029" s="348">
        <f>2689+500-1500</f>
        <v>1689</v>
      </c>
      <c r="I1029" s="345"/>
      <c r="J1029" s="349"/>
      <c r="L1029" s="325">
        <f t="shared" si="60"/>
        <v>1689</v>
      </c>
      <c r="N1029" s="363"/>
      <c r="O1029" s="363"/>
      <c r="P1029" s="364"/>
    </row>
    <row r="1030" s="325" customFormat="1" ht="16.5" hidden="1" customHeight="1" spans="1:16">
      <c r="A1030" s="347" t="s">
        <v>911</v>
      </c>
      <c r="B1030" s="348"/>
      <c r="C1030" s="348">
        <v>0</v>
      </c>
      <c r="D1030" s="349"/>
      <c r="E1030" s="348"/>
      <c r="F1030" s="345"/>
      <c r="G1030" s="346"/>
      <c r="H1030" s="348">
        <v>0</v>
      </c>
      <c r="I1030" s="345"/>
      <c r="J1030" s="349"/>
      <c r="L1030" s="325">
        <f t="shared" si="60"/>
        <v>0</v>
      </c>
      <c r="N1030" s="363"/>
      <c r="O1030" s="363"/>
      <c r="P1030" s="364"/>
    </row>
    <row r="1031" s="325" customFormat="1" ht="16.5" hidden="1" customHeight="1" spans="1:16">
      <c r="A1031" s="347" t="s">
        <v>912</v>
      </c>
      <c r="B1031" s="348"/>
      <c r="C1031" s="348">
        <v>0</v>
      </c>
      <c r="D1031" s="349"/>
      <c r="E1031" s="348"/>
      <c r="F1031" s="345"/>
      <c r="G1031" s="346"/>
      <c r="H1031" s="348">
        <v>0</v>
      </c>
      <c r="I1031" s="345"/>
      <c r="J1031" s="349"/>
      <c r="L1031" s="325">
        <f t="shared" si="60"/>
        <v>0</v>
      </c>
      <c r="N1031" s="363"/>
      <c r="O1031" s="363"/>
      <c r="P1031" s="364"/>
    </row>
    <row r="1032" s="325" customFormat="1" ht="16.5" customHeight="1" spans="1:16">
      <c r="A1032" s="347" t="s">
        <v>913</v>
      </c>
      <c r="B1032" s="348"/>
      <c r="C1032" s="348">
        <v>0</v>
      </c>
      <c r="D1032" s="349"/>
      <c r="E1032" s="348"/>
      <c r="F1032" s="345"/>
      <c r="G1032" s="346"/>
      <c r="H1032" s="348">
        <v>1500</v>
      </c>
      <c r="I1032" s="345"/>
      <c r="J1032" s="349"/>
      <c r="L1032" s="325">
        <f t="shared" ref="L1032:L1095" si="62">B1032+C1032+D1032+F1032+G1032+H1032+I1032+J1032</f>
        <v>1500</v>
      </c>
      <c r="N1032" s="363"/>
      <c r="O1032" s="363"/>
      <c r="P1032" s="364"/>
    </row>
    <row r="1033" s="325" customFormat="1" ht="16.5" hidden="1" customHeight="1" spans="1:16">
      <c r="A1033" s="347" t="s">
        <v>914</v>
      </c>
      <c r="B1033" s="348"/>
      <c r="C1033" s="348">
        <v>0</v>
      </c>
      <c r="D1033" s="349"/>
      <c r="E1033" s="348"/>
      <c r="F1033" s="345">
        <f>C1033-E1033</f>
        <v>0</v>
      </c>
      <c r="G1033" s="346"/>
      <c r="H1033" s="348">
        <v>0</v>
      </c>
      <c r="I1033" s="345"/>
      <c r="J1033" s="349"/>
      <c r="L1033" s="325">
        <f t="shared" si="62"/>
        <v>0</v>
      </c>
      <c r="N1033" s="363"/>
      <c r="O1033" s="363"/>
      <c r="P1033" s="364"/>
    </row>
    <row r="1034" s="325" customFormat="1" ht="16.5" customHeight="1" spans="1:16">
      <c r="A1034" s="347" t="s">
        <v>915</v>
      </c>
      <c r="B1034" s="348"/>
      <c r="C1034" s="348">
        <v>318</v>
      </c>
      <c r="D1034" s="349"/>
      <c r="E1034" s="348">
        <v>446</v>
      </c>
      <c r="F1034" s="345">
        <f>C1034-E1034</f>
        <v>-128</v>
      </c>
      <c r="G1034" s="346">
        <f>F1034/E1034*100</f>
        <v>-28.6995515695067</v>
      </c>
      <c r="H1034" s="348">
        <f>SUM(H1035:H1036)</f>
        <v>0</v>
      </c>
      <c r="I1034" s="345">
        <f>H1034-B1034</f>
        <v>0</v>
      </c>
      <c r="J1034" s="349"/>
      <c r="L1034" s="325">
        <f t="shared" si="62"/>
        <v>161.300448430493</v>
      </c>
      <c r="N1034" s="363"/>
      <c r="O1034" s="363"/>
      <c r="P1034" s="364"/>
    </row>
    <row r="1035" s="325" customFormat="1" ht="16.5" hidden="1" customHeight="1" spans="1:16">
      <c r="A1035" s="347" t="s">
        <v>916</v>
      </c>
      <c r="B1035" s="348"/>
      <c r="C1035" s="348">
        <v>0</v>
      </c>
      <c r="D1035" s="349"/>
      <c r="E1035" s="348"/>
      <c r="F1035" s="345"/>
      <c r="G1035" s="346"/>
      <c r="H1035" s="348"/>
      <c r="I1035" s="345"/>
      <c r="J1035" s="349"/>
      <c r="L1035" s="325">
        <f t="shared" si="62"/>
        <v>0</v>
      </c>
      <c r="N1035" s="363"/>
      <c r="O1035" s="363"/>
      <c r="P1035" s="364"/>
    </row>
    <row r="1036" s="325" customFormat="1" ht="16.5" hidden="1" customHeight="1" spans="1:16">
      <c r="A1036" s="347" t="s">
        <v>917</v>
      </c>
      <c r="B1036" s="348"/>
      <c r="C1036" s="348"/>
      <c r="D1036" s="349"/>
      <c r="E1036" s="348"/>
      <c r="F1036" s="345"/>
      <c r="G1036" s="346"/>
      <c r="H1036" s="348"/>
      <c r="I1036" s="345"/>
      <c r="J1036" s="349"/>
      <c r="L1036" s="325">
        <f t="shared" si="62"/>
        <v>0</v>
      </c>
      <c r="N1036" s="363"/>
      <c r="O1036" s="363"/>
      <c r="P1036" s="364"/>
    </row>
    <row r="1037" s="325" customFormat="1" ht="16.5" customHeight="1" spans="1:16">
      <c r="A1037" s="344" t="s">
        <v>918</v>
      </c>
      <c r="B1037" s="345">
        <f>B1038+B1053+B1065</f>
        <v>22948</v>
      </c>
      <c r="C1037" s="345">
        <f>C1038+C1053+C1065</f>
        <v>27623</v>
      </c>
      <c r="D1037" s="349">
        <f t="shared" ref="D1037:D1038" si="63">C1037/B1037*100</f>
        <v>120.37214572076</v>
      </c>
      <c r="E1037" s="345">
        <f>E1038+E1053+E1065</f>
        <v>29708</v>
      </c>
      <c r="F1037" s="345">
        <f t="shared" ref="F1037:F1038" si="64">C1037-E1037</f>
        <v>-2085</v>
      </c>
      <c r="G1037" s="346">
        <f>F1037/E1037*100</f>
        <v>-7.01831156590817</v>
      </c>
      <c r="H1037" s="345">
        <f>H1038+H1053+H1065</f>
        <v>22958.25537</v>
      </c>
      <c r="I1037" s="345">
        <f>H1037-B1037</f>
        <v>10.2553699999953</v>
      </c>
      <c r="J1037" s="349">
        <f t="shared" ref="J1037:J1038" si="65">I1037/B1037*100</f>
        <v>0.0446896025797251</v>
      </c>
      <c r="L1037" s="325">
        <f t="shared" si="62"/>
        <v>71567.9092637574</v>
      </c>
      <c r="N1037" s="362"/>
      <c r="O1037" s="362"/>
      <c r="P1037" s="364"/>
    </row>
    <row r="1038" s="325" customFormat="1" ht="16.5" customHeight="1" spans="1:16">
      <c r="A1038" s="347" t="s">
        <v>919</v>
      </c>
      <c r="B1038" s="348">
        <v>22598</v>
      </c>
      <c r="C1038" s="348">
        <v>26520</v>
      </c>
      <c r="D1038" s="349">
        <f t="shared" si="63"/>
        <v>117.35551818745</v>
      </c>
      <c r="E1038" s="348">
        <v>28910</v>
      </c>
      <c r="F1038" s="345">
        <f t="shared" si="64"/>
        <v>-2390</v>
      </c>
      <c r="G1038" s="346">
        <f>F1038/E1038*100</f>
        <v>-8.26703562781045</v>
      </c>
      <c r="H1038" s="348">
        <f>SUM(H1039:H1052)</f>
        <v>22550.487332</v>
      </c>
      <c r="I1038" s="345">
        <f>H1038-B1038</f>
        <v>-47.512668000003</v>
      </c>
      <c r="J1038" s="349">
        <f t="shared" si="65"/>
        <v>-0.210251650588561</v>
      </c>
      <c r="L1038" s="325">
        <f t="shared" si="62"/>
        <v>69339.8528949091</v>
      </c>
      <c r="N1038" s="363"/>
      <c r="O1038" s="363"/>
      <c r="P1038" s="364"/>
    </row>
    <row r="1039" s="325" customFormat="1" ht="16.5" customHeight="1" spans="1:16">
      <c r="A1039" s="347" t="s">
        <v>155</v>
      </c>
      <c r="B1039" s="348"/>
      <c r="C1039" s="348"/>
      <c r="D1039" s="349"/>
      <c r="E1039" s="348"/>
      <c r="F1039" s="345"/>
      <c r="G1039" s="346"/>
      <c r="H1039" s="348">
        <v>7161.63816</v>
      </c>
      <c r="I1039" s="345"/>
      <c r="J1039" s="349"/>
      <c r="L1039" s="325">
        <f t="shared" si="62"/>
        <v>7161.63816</v>
      </c>
      <c r="N1039" s="363"/>
      <c r="O1039" s="363"/>
      <c r="P1039" s="364"/>
    </row>
    <row r="1040" s="325" customFormat="1" ht="16.5" customHeight="1" spans="1:16">
      <c r="A1040" s="347" t="s">
        <v>156</v>
      </c>
      <c r="B1040" s="348"/>
      <c r="C1040" s="348"/>
      <c r="D1040" s="349"/>
      <c r="E1040" s="348"/>
      <c r="F1040" s="345"/>
      <c r="G1040" s="346"/>
      <c r="H1040" s="348">
        <v>300</v>
      </c>
      <c r="I1040" s="345"/>
      <c r="J1040" s="349"/>
      <c r="L1040" s="325">
        <f t="shared" si="62"/>
        <v>300</v>
      </c>
      <c r="N1040" s="363"/>
      <c r="O1040" s="363"/>
      <c r="P1040" s="364"/>
    </row>
    <row r="1041" s="325" customFormat="1" ht="16.5" hidden="1" customHeight="1" spans="1:16">
      <c r="A1041" s="347" t="s">
        <v>157</v>
      </c>
      <c r="B1041" s="348"/>
      <c r="C1041" s="348"/>
      <c r="D1041" s="349"/>
      <c r="E1041" s="348"/>
      <c r="F1041" s="345"/>
      <c r="G1041" s="346"/>
      <c r="H1041" s="348">
        <v>0</v>
      </c>
      <c r="I1041" s="345"/>
      <c r="J1041" s="349"/>
      <c r="L1041" s="325">
        <f t="shared" si="62"/>
        <v>0</v>
      </c>
      <c r="N1041" s="363"/>
      <c r="O1041" s="363"/>
      <c r="P1041" s="364"/>
    </row>
    <row r="1042" s="325" customFormat="1" ht="16.5" customHeight="1" spans="1:16">
      <c r="A1042" s="347" t="s">
        <v>920</v>
      </c>
      <c r="B1042" s="348"/>
      <c r="C1042" s="348"/>
      <c r="D1042" s="349"/>
      <c r="E1042" s="348"/>
      <c r="F1042" s="345"/>
      <c r="G1042" s="346"/>
      <c r="H1042" s="348">
        <v>500</v>
      </c>
      <c r="I1042" s="345"/>
      <c r="J1042" s="349"/>
      <c r="L1042" s="325">
        <f t="shared" si="62"/>
        <v>500</v>
      </c>
      <c r="N1042" s="363"/>
      <c r="O1042" s="363"/>
      <c r="P1042" s="364"/>
    </row>
    <row r="1043" s="325" customFormat="1" ht="16.5" customHeight="1" spans="1:16">
      <c r="A1043" s="347" t="s">
        <v>921</v>
      </c>
      <c r="B1043" s="348"/>
      <c r="C1043" s="348"/>
      <c r="D1043" s="349"/>
      <c r="E1043" s="348"/>
      <c r="F1043" s="345"/>
      <c r="G1043" s="346"/>
      <c r="H1043" s="348">
        <f>9827.45-26</f>
        <v>9801.45</v>
      </c>
      <c r="I1043" s="345"/>
      <c r="J1043" s="349"/>
      <c r="L1043" s="325">
        <f t="shared" si="62"/>
        <v>9801.45</v>
      </c>
      <c r="N1043" s="363"/>
      <c r="O1043" s="363"/>
      <c r="P1043" s="364"/>
    </row>
    <row r="1044" s="325" customFormat="1" ht="16.5" hidden="1" customHeight="1" spans="1:16">
      <c r="A1044" s="347" t="s">
        <v>922</v>
      </c>
      <c r="B1044" s="348"/>
      <c r="C1044" s="348"/>
      <c r="D1044" s="349"/>
      <c r="E1044" s="348"/>
      <c r="F1044" s="345"/>
      <c r="G1044" s="346"/>
      <c r="H1044" s="348">
        <v>0</v>
      </c>
      <c r="I1044" s="345"/>
      <c r="J1044" s="349"/>
      <c r="L1044" s="325">
        <f t="shared" si="62"/>
        <v>0</v>
      </c>
      <c r="N1044" s="363"/>
      <c r="O1044" s="363"/>
      <c r="P1044" s="364"/>
    </row>
    <row r="1045" s="325" customFormat="1" ht="16.5" hidden="1" customHeight="1" spans="1:16">
      <c r="A1045" s="347" t="s">
        <v>923</v>
      </c>
      <c r="B1045" s="348"/>
      <c r="C1045" s="348"/>
      <c r="D1045" s="349"/>
      <c r="E1045" s="348"/>
      <c r="F1045" s="345"/>
      <c r="G1045" s="346"/>
      <c r="H1045" s="348">
        <v>0</v>
      </c>
      <c r="I1045" s="345"/>
      <c r="J1045" s="349"/>
      <c r="L1045" s="325">
        <f t="shared" si="62"/>
        <v>0</v>
      </c>
      <c r="N1045" s="363"/>
      <c r="O1045" s="363"/>
      <c r="P1045" s="364"/>
    </row>
    <row r="1046" s="325" customFormat="1" ht="16.5" hidden="1" customHeight="1" spans="1:16">
      <c r="A1046" s="347" t="s">
        <v>924</v>
      </c>
      <c r="B1046" s="348"/>
      <c r="C1046" s="348"/>
      <c r="D1046" s="349"/>
      <c r="E1046" s="348"/>
      <c r="F1046" s="345"/>
      <c r="G1046" s="346"/>
      <c r="H1046" s="348">
        <v>0</v>
      </c>
      <c r="I1046" s="345"/>
      <c r="J1046" s="349"/>
      <c r="L1046" s="325">
        <f t="shared" si="62"/>
        <v>0</v>
      </c>
      <c r="N1046" s="363"/>
      <c r="O1046" s="363"/>
      <c r="P1046" s="364"/>
    </row>
    <row r="1047" s="325" customFormat="1" ht="16.5" hidden="1" customHeight="1" spans="1:16">
      <c r="A1047" s="347" t="s">
        <v>925</v>
      </c>
      <c r="B1047" s="348"/>
      <c r="C1047" s="348"/>
      <c r="D1047" s="349"/>
      <c r="E1047" s="348"/>
      <c r="F1047" s="345"/>
      <c r="G1047" s="346"/>
      <c r="H1047" s="348">
        <v>0</v>
      </c>
      <c r="I1047" s="345"/>
      <c r="J1047" s="349"/>
      <c r="L1047" s="325">
        <f t="shared" si="62"/>
        <v>0</v>
      </c>
      <c r="N1047" s="363"/>
      <c r="O1047" s="363"/>
      <c r="P1047" s="364"/>
    </row>
    <row r="1048" s="325" customFormat="1" ht="16.5" hidden="1" customHeight="1" spans="1:16">
      <c r="A1048" s="347" t="s">
        <v>926</v>
      </c>
      <c r="B1048" s="348"/>
      <c r="C1048" s="348"/>
      <c r="D1048" s="349"/>
      <c r="E1048" s="348"/>
      <c r="F1048" s="345"/>
      <c r="G1048" s="346"/>
      <c r="H1048" s="348">
        <v>0</v>
      </c>
      <c r="I1048" s="345"/>
      <c r="J1048" s="349"/>
      <c r="L1048" s="325">
        <f t="shared" si="62"/>
        <v>0</v>
      </c>
      <c r="N1048" s="363"/>
      <c r="O1048" s="363"/>
      <c r="P1048" s="364"/>
    </row>
    <row r="1049" s="325" customFormat="1" ht="16.5" customHeight="1" spans="1:16">
      <c r="A1049" s="347" t="s">
        <v>927</v>
      </c>
      <c r="B1049" s="348"/>
      <c r="C1049" s="348"/>
      <c r="D1049" s="349"/>
      <c r="E1049" s="348"/>
      <c r="F1049" s="345"/>
      <c r="G1049" s="346"/>
      <c r="H1049" s="348">
        <v>26</v>
      </c>
      <c r="I1049" s="345"/>
      <c r="J1049" s="349"/>
      <c r="L1049" s="325">
        <f t="shared" si="62"/>
        <v>26</v>
      </c>
      <c r="N1049" s="363"/>
      <c r="O1049" s="363"/>
      <c r="P1049" s="364"/>
    </row>
    <row r="1050" s="325" customFormat="1" ht="16.5" hidden="1" customHeight="1" spans="1:16">
      <c r="A1050" s="347" t="s">
        <v>928</v>
      </c>
      <c r="B1050" s="348"/>
      <c r="C1050" s="348"/>
      <c r="D1050" s="349"/>
      <c r="E1050" s="348"/>
      <c r="F1050" s="345"/>
      <c r="G1050" s="346"/>
      <c r="H1050" s="348">
        <v>0</v>
      </c>
      <c r="I1050" s="345"/>
      <c r="J1050" s="349"/>
      <c r="L1050" s="325">
        <f t="shared" si="62"/>
        <v>0</v>
      </c>
      <c r="N1050" s="363"/>
      <c r="O1050" s="363"/>
      <c r="P1050" s="364"/>
    </row>
    <row r="1051" s="325" customFormat="1" ht="16.5" customHeight="1" spans="1:16">
      <c r="A1051" s="347" t="s">
        <v>164</v>
      </c>
      <c r="B1051" s="348"/>
      <c r="C1051" s="348"/>
      <c r="D1051" s="349"/>
      <c r="E1051" s="348"/>
      <c r="F1051" s="345"/>
      <c r="G1051" s="346"/>
      <c r="H1051" s="348">
        <v>4179.559701</v>
      </c>
      <c r="I1051" s="345"/>
      <c r="J1051" s="349"/>
      <c r="L1051" s="325">
        <f t="shared" si="62"/>
        <v>4179.559701</v>
      </c>
      <c r="N1051" s="363"/>
      <c r="O1051" s="363"/>
      <c r="P1051" s="364"/>
    </row>
    <row r="1052" s="325" customFormat="1" ht="16.5" customHeight="1" spans="1:16">
      <c r="A1052" s="347" t="s">
        <v>929</v>
      </c>
      <c r="B1052" s="348"/>
      <c r="C1052" s="348"/>
      <c r="D1052" s="349"/>
      <c r="E1052" s="348"/>
      <c r="F1052" s="345"/>
      <c r="G1052" s="346"/>
      <c r="H1052" s="348">
        <v>581.839471</v>
      </c>
      <c r="I1052" s="345"/>
      <c r="J1052" s="349"/>
      <c r="L1052" s="325">
        <f t="shared" si="62"/>
        <v>581.839471</v>
      </c>
      <c r="N1052" s="363"/>
      <c r="O1052" s="363"/>
      <c r="P1052" s="364"/>
    </row>
    <row r="1053" s="325" customFormat="1" ht="16.5" customHeight="1" spans="1:16">
      <c r="A1053" s="347" t="s">
        <v>930</v>
      </c>
      <c r="B1053" s="348">
        <v>350</v>
      </c>
      <c r="C1053" s="348">
        <v>1103</v>
      </c>
      <c r="D1053" s="349">
        <f>C1053/B1053*100</f>
        <v>315.142857142857</v>
      </c>
      <c r="E1053" s="348">
        <v>798</v>
      </c>
      <c r="F1053" s="345">
        <f>C1053-E1053</f>
        <v>305</v>
      </c>
      <c r="G1053" s="346">
        <f>F1053/E1053*100</f>
        <v>38.2205513784461</v>
      </c>
      <c r="H1053" s="348">
        <f>SUM(H1054:H1064)</f>
        <v>407.768038</v>
      </c>
      <c r="I1053" s="345">
        <f>H1053-B1053</f>
        <v>57.768038</v>
      </c>
      <c r="J1053" s="349">
        <f>I1053/B1053*100</f>
        <v>16.5051537142857</v>
      </c>
      <c r="L1053" s="325">
        <f t="shared" si="62"/>
        <v>2593.40463823559</v>
      </c>
      <c r="N1053" s="363"/>
      <c r="O1053" s="363"/>
      <c r="P1053" s="364"/>
    </row>
    <row r="1054" s="325" customFormat="1" ht="16.5" customHeight="1" spans="1:16">
      <c r="A1054" s="347" t="s">
        <v>155</v>
      </c>
      <c r="B1054" s="348"/>
      <c r="C1054" s="348"/>
      <c r="D1054" s="349"/>
      <c r="E1054" s="348"/>
      <c r="F1054" s="345"/>
      <c r="G1054" s="346"/>
      <c r="H1054" s="348">
        <f>197+11</f>
        <v>208</v>
      </c>
      <c r="I1054" s="345"/>
      <c r="J1054" s="349"/>
      <c r="L1054" s="325">
        <f t="shared" si="62"/>
        <v>208</v>
      </c>
      <c r="N1054" s="363"/>
      <c r="O1054" s="363"/>
      <c r="P1054" s="364"/>
    </row>
    <row r="1055" s="325" customFormat="1" ht="16.5" hidden="1" customHeight="1" spans="1:16">
      <c r="A1055" s="347" t="s">
        <v>156</v>
      </c>
      <c r="B1055" s="348"/>
      <c r="C1055" s="348"/>
      <c r="D1055" s="349"/>
      <c r="E1055" s="348"/>
      <c r="F1055" s="345"/>
      <c r="G1055" s="346"/>
      <c r="H1055" s="348">
        <v>0</v>
      </c>
      <c r="I1055" s="345"/>
      <c r="J1055" s="349"/>
      <c r="L1055" s="325">
        <f t="shared" si="62"/>
        <v>0</v>
      </c>
      <c r="N1055" s="363"/>
      <c r="O1055" s="363"/>
      <c r="P1055" s="364"/>
    </row>
    <row r="1056" s="325" customFormat="1" ht="16.5" hidden="1" customHeight="1" spans="1:16">
      <c r="A1056" s="347" t="s">
        <v>157</v>
      </c>
      <c r="B1056" s="348"/>
      <c r="C1056" s="348"/>
      <c r="D1056" s="349"/>
      <c r="E1056" s="348"/>
      <c r="F1056" s="345"/>
      <c r="G1056" s="346"/>
      <c r="H1056" s="348">
        <v>0</v>
      </c>
      <c r="I1056" s="345"/>
      <c r="J1056" s="349"/>
      <c r="L1056" s="325">
        <f t="shared" si="62"/>
        <v>0</v>
      </c>
      <c r="N1056" s="363"/>
      <c r="O1056" s="363"/>
      <c r="P1056" s="364"/>
    </row>
    <row r="1057" s="325" customFormat="1" ht="16.5" customHeight="1" spans="1:16">
      <c r="A1057" s="347" t="s">
        <v>931</v>
      </c>
      <c r="B1057" s="348"/>
      <c r="C1057" s="348"/>
      <c r="D1057" s="349"/>
      <c r="E1057" s="348"/>
      <c r="F1057" s="345"/>
      <c r="G1057" s="346"/>
      <c r="H1057" s="348">
        <v>99.768038</v>
      </c>
      <c r="I1057" s="345"/>
      <c r="J1057" s="349"/>
      <c r="L1057" s="325">
        <f t="shared" si="62"/>
        <v>99.768038</v>
      </c>
      <c r="N1057" s="363"/>
      <c r="O1057" s="363"/>
      <c r="P1057" s="364"/>
    </row>
    <row r="1058" s="325" customFormat="1" ht="16.5" hidden="1" customHeight="1" spans="1:16">
      <c r="A1058" s="347" t="s">
        <v>932</v>
      </c>
      <c r="B1058" s="348"/>
      <c r="C1058" s="348"/>
      <c r="D1058" s="349"/>
      <c r="E1058" s="348"/>
      <c r="F1058" s="345"/>
      <c r="G1058" s="346"/>
      <c r="H1058" s="348">
        <v>0</v>
      </c>
      <c r="I1058" s="345"/>
      <c r="J1058" s="349"/>
      <c r="L1058" s="325">
        <f t="shared" si="62"/>
        <v>0</v>
      </c>
      <c r="N1058" s="363"/>
      <c r="O1058" s="363"/>
      <c r="P1058" s="364"/>
    </row>
    <row r="1059" s="325" customFormat="1" ht="16.5" hidden="1" customHeight="1" spans="1:16">
      <c r="A1059" s="347" t="s">
        <v>933</v>
      </c>
      <c r="B1059" s="348"/>
      <c r="C1059" s="348">
        <v>0</v>
      </c>
      <c r="D1059" s="349"/>
      <c r="E1059" s="348"/>
      <c r="F1059" s="345"/>
      <c r="G1059" s="346"/>
      <c r="H1059" s="348">
        <v>0</v>
      </c>
      <c r="I1059" s="345"/>
      <c r="J1059" s="349"/>
      <c r="L1059" s="325">
        <f t="shared" si="62"/>
        <v>0</v>
      </c>
      <c r="N1059" s="363"/>
      <c r="O1059" s="363"/>
      <c r="P1059" s="364"/>
    </row>
    <row r="1060" s="325" customFormat="1" ht="16.5" hidden="1" customHeight="1" spans="1:16">
      <c r="A1060" s="347" t="s">
        <v>934</v>
      </c>
      <c r="B1060" s="348"/>
      <c r="C1060" s="348">
        <v>0</v>
      </c>
      <c r="D1060" s="349"/>
      <c r="E1060" s="348"/>
      <c r="F1060" s="345"/>
      <c r="G1060" s="346"/>
      <c r="H1060" s="348">
        <v>0</v>
      </c>
      <c r="I1060" s="345"/>
      <c r="J1060" s="349"/>
      <c r="L1060" s="325">
        <f t="shared" si="62"/>
        <v>0</v>
      </c>
      <c r="N1060" s="363"/>
      <c r="O1060" s="363"/>
      <c r="P1060" s="364"/>
    </row>
    <row r="1061" s="325" customFormat="1" ht="16.5" hidden="1" customHeight="1" spans="1:16">
      <c r="A1061" s="347" t="s">
        <v>935</v>
      </c>
      <c r="B1061" s="348"/>
      <c r="C1061" s="348">
        <v>0</v>
      </c>
      <c r="D1061" s="349"/>
      <c r="E1061" s="348"/>
      <c r="F1061" s="345"/>
      <c r="G1061" s="346"/>
      <c r="H1061" s="348">
        <v>0</v>
      </c>
      <c r="I1061" s="345"/>
      <c r="J1061" s="349"/>
      <c r="L1061" s="325">
        <f t="shared" si="62"/>
        <v>0</v>
      </c>
      <c r="N1061" s="363"/>
      <c r="O1061" s="363"/>
      <c r="P1061" s="364"/>
    </row>
    <row r="1062" s="325" customFormat="1" ht="16.5" hidden="1" customHeight="1" spans="1:16">
      <c r="A1062" s="347" t="s">
        <v>936</v>
      </c>
      <c r="B1062" s="348"/>
      <c r="C1062" s="348">
        <v>0</v>
      </c>
      <c r="D1062" s="349"/>
      <c r="E1062" s="348"/>
      <c r="F1062" s="345"/>
      <c r="G1062" s="346"/>
      <c r="H1062" s="348">
        <v>0</v>
      </c>
      <c r="I1062" s="345"/>
      <c r="J1062" s="349"/>
      <c r="L1062" s="325">
        <f t="shared" si="62"/>
        <v>0</v>
      </c>
      <c r="N1062" s="363"/>
      <c r="O1062" s="363"/>
      <c r="P1062" s="364"/>
    </row>
    <row r="1063" s="325" customFormat="1" ht="16.5" hidden="1" customHeight="1" spans="1:16">
      <c r="A1063" s="347" t="s">
        <v>937</v>
      </c>
      <c r="B1063" s="348"/>
      <c r="C1063" s="348">
        <v>0</v>
      </c>
      <c r="D1063" s="349"/>
      <c r="E1063" s="348"/>
      <c r="F1063" s="345"/>
      <c r="G1063" s="346"/>
      <c r="H1063" s="348">
        <v>0</v>
      </c>
      <c r="I1063" s="345"/>
      <c r="J1063" s="349"/>
      <c r="L1063" s="325">
        <f t="shared" si="62"/>
        <v>0</v>
      </c>
      <c r="N1063" s="363"/>
      <c r="O1063" s="363"/>
      <c r="P1063" s="364"/>
    </row>
    <row r="1064" s="325" customFormat="1" ht="16.5" customHeight="1" spans="1:16">
      <c r="A1064" s="347" t="s">
        <v>938</v>
      </c>
      <c r="B1064" s="348"/>
      <c r="C1064" s="348"/>
      <c r="D1064" s="349"/>
      <c r="E1064" s="348"/>
      <c r="F1064" s="345"/>
      <c r="G1064" s="346"/>
      <c r="H1064" s="348">
        <v>100</v>
      </c>
      <c r="I1064" s="345"/>
      <c r="J1064" s="349"/>
      <c r="L1064" s="325">
        <f t="shared" si="62"/>
        <v>100</v>
      </c>
      <c r="N1064" s="363"/>
      <c r="O1064" s="363"/>
      <c r="P1064" s="364"/>
    </row>
    <row r="1065" s="325" customFormat="1" ht="16.5" hidden="1" customHeight="1" spans="1:16">
      <c r="A1065" s="347" t="s">
        <v>939</v>
      </c>
      <c r="B1065" s="348"/>
      <c r="C1065" s="348">
        <v>0</v>
      </c>
      <c r="D1065" s="349"/>
      <c r="E1065" s="348"/>
      <c r="F1065" s="345"/>
      <c r="G1065" s="346"/>
      <c r="H1065" s="348"/>
      <c r="I1065" s="345"/>
      <c r="J1065" s="349"/>
      <c r="L1065" s="325">
        <f t="shared" si="62"/>
        <v>0</v>
      </c>
      <c r="N1065" s="363"/>
      <c r="O1065" s="363"/>
      <c r="P1065" s="364"/>
    </row>
    <row r="1066" s="325" customFormat="1" ht="16.5" customHeight="1" spans="1:16">
      <c r="A1066" s="344" t="s">
        <v>940</v>
      </c>
      <c r="B1066" s="345">
        <f>B1067+B1076+B1080</f>
        <v>117503</v>
      </c>
      <c r="C1066" s="345">
        <f>C1067+C1076+C1080</f>
        <v>86159</v>
      </c>
      <c r="D1066" s="349">
        <f>C1066/B1066*100</f>
        <v>73.3249363846029</v>
      </c>
      <c r="E1066" s="345">
        <f>E1067+E1076+E1080</f>
        <v>106012</v>
      </c>
      <c r="F1066" s="345">
        <f t="shared" ref="F1066:F1067" si="66">C1066-E1066</f>
        <v>-19853</v>
      </c>
      <c r="G1066" s="346">
        <f>F1066/E1066*100</f>
        <v>-18.7271252311059</v>
      </c>
      <c r="H1066" s="345">
        <f>H1067+H1076+H1080</f>
        <v>117711.618619</v>
      </c>
      <c r="I1066" s="345">
        <f t="shared" ref="I1065:I1067" si="67">H1066-B1066</f>
        <v>208.618619000015</v>
      </c>
      <c r="J1066" s="349">
        <f>I1066/B1066*100</f>
        <v>0.177543227832494</v>
      </c>
      <c r="L1066" s="325">
        <f t="shared" si="62"/>
        <v>301784.012592381</v>
      </c>
      <c r="N1066" s="362"/>
      <c r="O1066" s="362"/>
      <c r="P1066" s="364"/>
    </row>
    <row r="1067" s="325" customFormat="1" ht="16.5" customHeight="1" spans="1:16">
      <c r="A1067" s="347" t="s">
        <v>941</v>
      </c>
      <c r="B1067" s="348">
        <v>28430</v>
      </c>
      <c r="C1067" s="348">
        <v>18035</v>
      </c>
      <c r="D1067" s="349">
        <f>C1067/B1067*100</f>
        <v>63.4365107281041</v>
      </c>
      <c r="E1067" s="348">
        <v>20898</v>
      </c>
      <c r="F1067" s="345">
        <f t="shared" si="66"/>
        <v>-2863</v>
      </c>
      <c r="G1067" s="346">
        <f>F1067/E1067*100</f>
        <v>-13.6998755861805</v>
      </c>
      <c r="H1067" s="348">
        <f>SUM(H1068:H1075)</f>
        <v>27839.054971</v>
      </c>
      <c r="I1067" s="345">
        <f t="shared" si="67"/>
        <v>-590.945029000002</v>
      </c>
      <c r="J1067" s="349">
        <f>I1067/B1067*100</f>
        <v>-2.07859665494197</v>
      </c>
      <c r="L1067" s="325">
        <f t="shared" si="62"/>
        <v>70897.767980487</v>
      </c>
      <c r="N1067" s="363"/>
      <c r="O1067" s="363"/>
      <c r="P1067" s="364"/>
    </row>
    <row r="1068" s="325" customFormat="1" ht="16.5" hidden="1" customHeight="1" spans="1:16">
      <c r="A1068" s="347" t="s">
        <v>942</v>
      </c>
      <c r="B1068" s="348"/>
      <c r="C1068" s="348"/>
      <c r="D1068" s="349"/>
      <c r="E1068" s="348"/>
      <c r="F1068" s="345"/>
      <c r="G1068" s="346"/>
      <c r="H1068" s="348">
        <v>0</v>
      </c>
      <c r="I1068" s="345"/>
      <c r="J1068" s="349"/>
      <c r="L1068" s="325">
        <f t="shared" si="62"/>
        <v>0</v>
      </c>
      <c r="N1068" s="363"/>
      <c r="O1068" s="363"/>
      <c r="P1068" s="364"/>
    </row>
    <row r="1069" s="325" customFormat="1" ht="16.5" customHeight="1" spans="1:16">
      <c r="A1069" s="347" t="s">
        <v>943</v>
      </c>
      <c r="B1069" s="348"/>
      <c r="C1069" s="348"/>
      <c r="D1069" s="349"/>
      <c r="E1069" s="348"/>
      <c r="F1069" s="345"/>
      <c r="G1069" s="346"/>
      <c r="H1069" s="348">
        <v>1122.8583</v>
      </c>
      <c r="I1069" s="345"/>
      <c r="J1069" s="349"/>
      <c r="L1069" s="325">
        <f t="shared" si="62"/>
        <v>1122.8583</v>
      </c>
      <c r="N1069" s="363"/>
      <c r="O1069" s="363"/>
      <c r="P1069" s="364"/>
    </row>
    <row r="1070" s="325" customFormat="1" ht="16.5" customHeight="1" spans="1:16">
      <c r="A1070" s="347" t="s">
        <v>944</v>
      </c>
      <c r="B1070" s="348"/>
      <c r="C1070" s="348"/>
      <c r="D1070" s="349"/>
      <c r="E1070" s="348"/>
      <c r="F1070" s="345"/>
      <c r="G1070" s="346"/>
      <c r="H1070" s="348">
        <v>1123</v>
      </c>
      <c r="I1070" s="345"/>
      <c r="J1070" s="349"/>
      <c r="L1070" s="325">
        <f t="shared" si="62"/>
        <v>1123</v>
      </c>
      <c r="N1070" s="363"/>
      <c r="O1070" s="363"/>
      <c r="P1070" s="364"/>
    </row>
    <row r="1071" s="325" customFormat="1" ht="16.5" customHeight="1" spans="1:16">
      <c r="A1071" s="347" t="s">
        <v>945</v>
      </c>
      <c r="B1071" s="348"/>
      <c r="C1071" s="348"/>
      <c r="D1071" s="349"/>
      <c r="E1071" s="348"/>
      <c r="F1071" s="345"/>
      <c r="G1071" s="346"/>
      <c r="H1071" s="348">
        <f>16775.607178-2000-1500</f>
        <v>13275.607178</v>
      </c>
      <c r="I1071" s="345"/>
      <c r="J1071" s="349"/>
      <c r="L1071" s="325">
        <f t="shared" si="62"/>
        <v>13275.607178</v>
      </c>
      <c r="N1071" s="363"/>
      <c r="O1071" s="363"/>
      <c r="P1071" s="364"/>
    </row>
    <row r="1072" s="325" customFormat="1" ht="16.5" customHeight="1" spans="1:16">
      <c r="A1072" s="347" t="s">
        <v>946</v>
      </c>
      <c r="B1072" s="375"/>
      <c r="C1072" s="348"/>
      <c r="D1072" s="349"/>
      <c r="E1072" s="348"/>
      <c r="F1072" s="345"/>
      <c r="G1072" s="346"/>
      <c r="H1072" s="348">
        <v>4797</v>
      </c>
      <c r="I1072" s="345"/>
      <c r="J1072" s="349"/>
      <c r="L1072" s="325">
        <f t="shared" si="62"/>
        <v>4797</v>
      </c>
      <c r="N1072" s="363"/>
      <c r="O1072" s="363"/>
      <c r="P1072" s="364"/>
    </row>
    <row r="1073" s="325" customFormat="1" ht="16.5" customHeight="1" spans="1:16">
      <c r="A1073" s="347" t="s">
        <v>947</v>
      </c>
      <c r="B1073" s="375"/>
      <c r="C1073" s="348"/>
      <c r="D1073" s="349"/>
      <c r="E1073" s="348"/>
      <c r="F1073" s="345"/>
      <c r="G1073" s="346"/>
      <c r="H1073" s="348">
        <f>3922+2000</f>
        <v>5922</v>
      </c>
      <c r="I1073" s="345"/>
      <c r="J1073" s="349"/>
      <c r="L1073" s="325">
        <f t="shared" si="62"/>
        <v>5922</v>
      </c>
      <c r="N1073" s="363"/>
      <c r="O1073" s="363"/>
      <c r="P1073" s="364"/>
    </row>
    <row r="1074" s="325" customFormat="1" ht="16.5" customHeight="1" spans="1:16">
      <c r="A1074" s="347" t="s">
        <v>948</v>
      </c>
      <c r="B1074" s="375"/>
      <c r="C1074" s="348"/>
      <c r="D1074" s="349"/>
      <c r="E1074" s="348"/>
      <c r="F1074" s="345"/>
      <c r="G1074" s="346"/>
      <c r="H1074" s="348">
        <v>1500</v>
      </c>
      <c r="I1074" s="345"/>
      <c r="J1074" s="349"/>
      <c r="L1074" s="325">
        <f t="shared" si="62"/>
        <v>1500</v>
      </c>
      <c r="N1074" s="363"/>
      <c r="O1074" s="363"/>
      <c r="P1074" s="364"/>
    </row>
    <row r="1075" s="325" customFormat="1" ht="16.5" customHeight="1" spans="1:16">
      <c r="A1075" s="347" t="s">
        <v>949</v>
      </c>
      <c r="B1075" s="348"/>
      <c r="C1075" s="348"/>
      <c r="D1075" s="349"/>
      <c r="E1075" s="348"/>
      <c r="F1075" s="345"/>
      <c r="G1075" s="346"/>
      <c r="H1075" s="348">
        <v>98.589493</v>
      </c>
      <c r="I1075" s="345"/>
      <c r="J1075" s="349"/>
      <c r="L1075" s="325">
        <f t="shared" si="62"/>
        <v>98.589493</v>
      </c>
      <c r="N1075" s="363"/>
      <c r="O1075" s="363"/>
      <c r="P1075" s="364"/>
    </row>
    <row r="1076" s="325" customFormat="1" ht="16.5" customHeight="1" spans="1:16">
      <c r="A1076" s="347" t="s">
        <v>950</v>
      </c>
      <c r="B1076" s="348">
        <v>85170</v>
      </c>
      <c r="C1076" s="348">
        <v>63888</v>
      </c>
      <c r="D1076" s="349">
        <f>C1076/B1076*100</f>
        <v>75.0123282846072</v>
      </c>
      <c r="E1076" s="348">
        <v>81615</v>
      </c>
      <c r="F1076" s="345">
        <f>C1076-E1076</f>
        <v>-17727</v>
      </c>
      <c r="G1076" s="346">
        <f>F1076/E1076*100</f>
        <v>-21.7202720088219</v>
      </c>
      <c r="H1076" s="348">
        <f>SUM(H1077:H1079)</f>
        <v>85792.236195</v>
      </c>
      <c r="I1076" s="345">
        <f>H1076-B1076</f>
        <v>622.236195000005</v>
      </c>
      <c r="J1076" s="349">
        <f>I1076/B1076*100</f>
        <v>0.730581419513919</v>
      </c>
      <c r="L1076" s="325">
        <f t="shared" si="62"/>
        <v>217799.495027695</v>
      </c>
      <c r="N1076" s="363"/>
      <c r="O1076" s="363"/>
      <c r="P1076" s="364"/>
    </row>
    <row r="1077" s="325" customFormat="1" ht="16.5" customHeight="1" spans="1:16">
      <c r="A1077" s="365" t="s">
        <v>951</v>
      </c>
      <c r="B1077" s="348"/>
      <c r="C1077" s="348"/>
      <c r="D1077" s="349"/>
      <c r="E1077" s="348"/>
      <c r="F1077" s="345"/>
      <c r="G1077" s="346"/>
      <c r="H1077" s="348">
        <v>83535.236195</v>
      </c>
      <c r="I1077" s="345"/>
      <c r="J1077" s="349"/>
      <c r="L1077" s="325">
        <f t="shared" si="62"/>
        <v>83535.236195</v>
      </c>
      <c r="N1077" s="363"/>
      <c r="O1077" s="363"/>
      <c r="P1077" s="364"/>
    </row>
    <row r="1078" s="325" customFormat="1" ht="16.5" hidden="1" customHeight="1" spans="1:16">
      <c r="A1078" s="365" t="s">
        <v>952</v>
      </c>
      <c r="B1078" s="348"/>
      <c r="C1078" s="348">
        <v>0</v>
      </c>
      <c r="D1078" s="349"/>
      <c r="E1078" s="348"/>
      <c r="F1078" s="345"/>
      <c r="G1078" s="346"/>
      <c r="H1078" s="348">
        <v>0</v>
      </c>
      <c r="I1078" s="345"/>
      <c r="J1078" s="349"/>
      <c r="L1078" s="325">
        <f t="shared" si="62"/>
        <v>0</v>
      </c>
      <c r="N1078" s="363"/>
      <c r="O1078" s="363"/>
      <c r="P1078" s="364"/>
    </row>
    <row r="1079" s="325" customFormat="1" ht="16.5" customHeight="1" spans="1:16">
      <c r="A1079" s="365" t="s">
        <v>953</v>
      </c>
      <c r="B1079" s="348"/>
      <c r="C1079" s="348">
        <v>0</v>
      </c>
      <c r="D1079" s="349"/>
      <c r="E1079" s="348"/>
      <c r="F1079" s="345"/>
      <c r="G1079" s="346"/>
      <c r="H1079" s="348">
        <v>2257</v>
      </c>
      <c r="I1079" s="345"/>
      <c r="J1079" s="349"/>
      <c r="L1079" s="325">
        <f t="shared" si="62"/>
        <v>2257</v>
      </c>
      <c r="N1079" s="363"/>
      <c r="O1079" s="363"/>
      <c r="P1079" s="364"/>
    </row>
    <row r="1080" s="325" customFormat="1" ht="16.5" customHeight="1" spans="1:16">
      <c r="A1080" s="347" t="s">
        <v>954</v>
      </c>
      <c r="B1080" s="348">
        <v>3903</v>
      </c>
      <c r="C1080" s="348">
        <v>4236</v>
      </c>
      <c r="D1080" s="349">
        <f>C1080/B1080*100</f>
        <v>108.531898539585</v>
      </c>
      <c r="E1080" s="348">
        <v>3499</v>
      </c>
      <c r="F1080" s="345">
        <f>C1080-E1080</f>
        <v>737</v>
      </c>
      <c r="G1080" s="346">
        <f>F1080/E1080*100</f>
        <v>21.0631609031152</v>
      </c>
      <c r="H1080" s="348">
        <f>SUM(H1081:H1083)</f>
        <v>4080.327453</v>
      </c>
      <c r="I1080" s="345">
        <f t="shared" ref="I1080:I1085" si="68">H1080-B1080</f>
        <v>177.327453</v>
      </c>
      <c r="J1080" s="349">
        <f>I1080/B1080*100</f>
        <v>4.54336287471176</v>
      </c>
      <c r="L1080" s="325">
        <f t="shared" si="62"/>
        <v>13267.7933283174</v>
      </c>
      <c r="N1080" s="363"/>
      <c r="O1080" s="363"/>
      <c r="P1080" s="364"/>
    </row>
    <row r="1081" s="325" customFormat="1" ht="16.5" hidden="1" customHeight="1" spans="1:16">
      <c r="A1081" s="347" t="s">
        <v>955</v>
      </c>
      <c r="B1081" s="348"/>
      <c r="C1081" s="348">
        <v>0</v>
      </c>
      <c r="D1081" s="349"/>
      <c r="E1081" s="348"/>
      <c r="F1081" s="345"/>
      <c r="G1081" s="346"/>
      <c r="H1081" s="348">
        <v>0</v>
      </c>
      <c r="I1081" s="345"/>
      <c r="J1081" s="349"/>
      <c r="L1081" s="325">
        <f t="shared" si="62"/>
        <v>0</v>
      </c>
      <c r="N1081" s="363"/>
      <c r="O1081" s="363"/>
      <c r="P1081" s="364"/>
    </row>
    <row r="1082" s="325" customFormat="1" ht="16.5" customHeight="1" spans="1:16">
      <c r="A1082" s="347" t="s">
        <v>956</v>
      </c>
      <c r="B1082" s="348"/>
      <c r="C1082" s="348">
        <v>0</v>
      </c>
      <c r="D1082" s="349"/>
      <c r="E1082" s="348"/>
      <c r="F1082" s="345"/>
      <c r="G1082" s="346"/>
      <c r="H1082" s="348">
        <v>1671.544653</v>
      </c>
      <c r="I1082" s="345"/>
      <c r="J1082" s="349"/>
      <c r="L1082" s="325">
        <f t="shared" si="62"/>
        <v>1671.544653</v>
      </c>
      <c r="N1082" s="363"/>
      <c r="O1082" s="363"/>
      <c r="P1082" s="364"/>
    </row>
    <row r="1083" s="325" customFormat="1" ht="16.5" customHeight="1" spans="1:16">
      <c r="A1083" s="347" t="s">
        <v>957</v>
      </c>
      <c r="B1083" s="348"/>
      <c r="C1083" s="348"/>
      <c r="D1083" s="349"/>
      <c r="E1083" s="348"/>
      <c r="F1083" s="345"/>
      <c r="G1083" s="346"/>
      <c r="H1083" s="348">
        <v>2408.7828</v>
      </c>
      <c r="I1083" s="345"/>
      <c r="J1083" s="349"/>
      <c r="L1083" s="325">
        <f t="shared" si="62"/>
        <v>2408.7828</v>
      </c>
      <c r="N1083" s="363"/>
      <c r="O1083" s="363"/>
      <c r="P1083" s="364"/>
    </row>
    <row r="1084" s="325" customFormat="1" ht="16.5" customHeight="1" spans="1:16">
      <c r="A1084" s="344" t="s">
        <v>958</v>
      </c>
      <c r="B1084" s="345">
        <f>B1085+B1103+B1110+B1116</f>
        <v>4293</v>
      </c>
      <c r="C1084" s="345">
        <f>C1085+C1103+C1110+C1116</f>
        <v>2747</v>
      </c>
      <c r="D1084" s="349">
        <f>C1084/B1084*100</f>
        <v>63.9878872583275</v>
      </c>
      <c r="E1084" s="345">
        <f>E1085+E1103+E1110+E1116</f>
        <v>1222</v>
      </c>
      <c r="F1084" s="345">
        <f>C1084-E1084</f>
        <v>1525</v>
      </c>
      <c r="G1084" s="346">
        <f>F1084/E1084*100</f>
        <v>124.795417348609</v>
      </c>
      <c r="H1084" s="345">
        <f>H1085+H1103+H1110+H1116</f>
        <v>4053.3</v>
      </c>
      <c r="I1084" s="345">
        <f t="shared" si="68"/>
        <v>-239.7</v>
      </c>
      <c r="J1084" s="349">
        <f>I1084/B1084*100</f>
        <v>-5.58350803633822</v>
      </c>
      <c r="L1084" s="325">
        <f t="shared" si="62"/>
        <v>12561.7997965706</v>
      </c>
      <c r="N1084" s="362"/>
      <c r="O1084" s="362"/>
      <c r="P1084" s="364"/>
    </row>
    <row r="1085" s="326" customFormat="1" ht="16.5" customHeight="1" spans="1:16">
      <c r="A1085" s="347" t="s">
        <v>959</v>
      </c>
      <c r="B1085" s="348">
        <v>1751</v>
      </c>
      <c r="C1085" s="348">
        <v>609</v>
      </c>
      <c r="D1085" s="349">
        <f>C1085/B1085*100</f>
        <v>34.78012564249</v>
      </c>
      <c r="E1085" s="348">
        <v>470</v>
      </c>
      <c r="F1085" s="345">
        <f>C1085-E1085</f>
        <v>139</v>
      </c>
      <c r="G1085" s="346">
        <f>F1085/E1085*100</f>
        <v>29.5744680851064</v>
      </c>
      <c r="H1085" s="348">
        <f>SUM(H1086:H1102)</f>
        <v>1667.3</v>
      </c>
      <c r="I1085" s="345">
        <f t="shared" si="68"/>
        <v>-83.7</v>
      </c>
      <c r="J1085" s="349">
        <f>I1085/B1085*100</f>
        <v>-4.78012564249001</v>
      </c>
      <c r="K1085" s="325"/>
      <c r="L1085" s="325">
        <f t="shared" si="62"/>
        <v>4142.17446808511</v>
      </c>
      <c r="M1085" s="325"/>
      <c r="N1085" s="363"/>
      <c r="O1085" s="363"/>
      <c r="P1085" s="364"/>
    </row>
    <row r="1086" s="325" customFormat="1" ht="16.5" hidden="1" customHeight="1" spans="1:16">
      <c r="A1086" s="347" t="s">
        <v>155</v>
      </c>
      <c r="B1086" s="348"/>
      <c r="C1086" s="348">
        <v>0</v>
      </c>
      <c r="D1086" s="349"/>
      <c r="E1086" s="348"/>
      <c r="F1086" s="345"/>
      <c r="G1086" s="346"/>
      <c r="H1086" s="348">
        <v>0</v>
      </c>
      <c r="I1086" s="345"/>
      <c r="J1086" s="349"/>
      <c r="L1086" s="325">
        <f t="shared" si="62"/>
        <v>0</v>
      </c>
      <c r="N1086" s="363"/>
      <c r="O1086" s="363"/>
      <c r="P1086" s="364"/>
    </row>
    <row r="1087" s="325" customFormat="1" ht="16.5" hidden="1" customHeight="1" spans="1:16">
      <c r="A1087" s="347" t="s">
        <v>156</v>
      </c>
      <c r="B1087" s="348"/>
      <c r="C1087" s="348">
        <v>0</v>
      </c>
      <c r="D1087" s="349"/>
      <c r="E1087" s="348"/>
      <c r="F1087" s="345"/>
      <c r="G1087" s="346"/>
      <c r="H1087" s="348">
        <v>0</v>
      </c>
      <c r="I1087" s="345"/>
      <c r="J1087" s="349"/>
      <c r="L1087" s="325">
        <f t="shared" si="62"/>
        <v>0</v>
      </c>
      <c r="N1087" s="363"/>
      <c r="O1087" s="363"/>
      <c r="P1087" s="364"/>
    </row>
    <row r="1088" s="325" customFormat="1" ht="16.5" hidden="1" customHeight="1" spans="1:16">
      <c r="A1088" s="347" t="s">
        <v>157</v>
      </c>
      <c r="B1088" s="348"/>
      <c r="C1088" s="348">
        <v>0</v>
      </c>
      <c r="D1088" s="349"/>
      <c r="E1088" s="348"/>
      <c r="F1088" s="345"/>
      <c r="G1088" s="346"/>
      <c r="H1088" s="348">
        <v>0</v>
      </c>
      <c r="I1088" s="345"/>
      <c r="J1088" s="349"/>
      <c r="L1088" s="325">
        <f t="shared" si="62"/>
        <v>0</v>
      </c>
      <c r="N1088" s="363"/>
      <c r="O1088" s="363"/>
      <c r="P1088" s="364"/>
    </row>
    <row r="1089" s="325" customFormat="1" ht="16.5" hidden="1" customHeight="1" spans="1:16">
      <c r="A1089" s="365" t="s">
        <v>960</v>
      </c>
      <c r="B1089" s="348"/>
      <c r="C1089" s="348"/>
      <c r="D1089" s="349"/>
      <c r="E1089" s="348"/>
      <c r="F1089" s="345"/>
      <c r="G1089" s="346"/>
      <c r="H1089" s="348">
        <v>0</v>
      </c>
      <c r="I1089" s="345"/>
      <c r="J1089" s="349"/>
      <c r="L1089" s="325">
        <f t="shared" si="62"/>
        <v>0</v>
      </c>
      <c r="N1089" s="363"/>
      <c r="O1089" s="363"/>
      <c r="P1089" s="364"/>
    </row>
    <row r="1090" s="325" customFormat="1" ht="16.5" hidden="1" customHeight="1" spans="1:16">
      <c r="A1090" s="365" t="s">
        <v>961</v>
      </c>
      <c r="B1090" s="348"/>
      <c r="C1090" s="348"/>
      <c r="D1090" s="349"/>
      <c r="E1090" s="348"/>
      <c r="F1090" s="345"/>
      <c r="G1090" s="346"/>
      <c r="H1090" s="348">
        <v>0</v>
      </c>
      <c r="I1090" s="345"/>
      <c r="J1090" s="349"/>
      <c r="L1090" s="325">
        <f t="shared" si="62"/>
        <v>0</v>
      </c>
      <c r="N1090" s="363"/>
      <c r="O1090" s="363"/>
      <c r="P1090" s="364"/>
    </row>
    <row r="1091" s="325" customFormat="1" ht="16.5" customHeight="1" spans="1:16">
      <c r="A1091" s="365" t="s">
        <v>962</v>
      </c>
      <c r="B1091" s="348"/>
      <c r="C1091" s="348"/>
      <c r="D1091" s="349"/>
      <c r="E1091" s="348"/>
      <c r="F1091" s="345"/>
      <c r="G1091" s="346"/>
      <c r="H1091" s="348">
        <v>10.3</v>
      </c>
      <c r="I1091" s="345"/>
      <c r="J1091" s="349"/>
      <c r="L1091" s="325">
        <f t="shared" si="62"/>
        <v>10.3</v>
      </c>
      <c r="N1091" s="363"/>
      <c r="O1091" s="363"/>
      <c r="P1091" s="364"/>
    </row>
    <row r="1092" s="325" customFormat="1" ht="16.5" hidden="1" customHeight="1" spans="1:16">
      <c r="A1092" s="365" t="s">
        <v>963</v>
      </c>
      <c r="B1092" s="348"/>
      <c r="C1092" s="348"/>
      <c r="D1092" s="349"/>
      <c r="E1092" s="348"/>
      <c r="F1092" s="345"/>
      <c r="G1092" s="346"/>
      <c r="H1092" s="348">
        <v>0</v>
      </c>
      <c r="I1092" s="345"/>
      <c r="J1092" s="349"/>
      <c r="L1092" s="325">
        <f t="shared" si="62"/>
        <v>0</v>
      </c>
      <c r="N1092" s="363"/>
      <c r="O1092" s="363"/>
      <c r="P1092" s="364"/>
    </row>
    <row r="1093" s="325" customFormat="1" ht="16.5" hidden="1" customHeight="1" spans="1:16">
      <c r="A1093" s="365" t="s">
        <v>964</v>
      </c>
      <c r="B1093" s="348"/>
      <c r="C1093" s="348"/>
      <c r="D1093" s="349"/>
      <c r="E1093" s="348"/>
      <c r="F1093" s="345"/>
      <c r="G1093" s="346"/>
      <c r="H1093" s="348">
        <v>0</v>
      </c>
      <c r="I1093" s="345"/>
      <c r="J1093" s="349"/>
      <c r="L1093" s="325">
        <f t="shared" si="62"/>
        <v>0</v>
      </c>
      <c r="N1093" s="363"/>
      <c r="O1093" s="363"/>
      <c r="P1093" s="364"/>
    </row>
    <row r="1094" s="325" customFormat="1" ht="16.5" hidden="1" customHeight="1" spans="1:16">
      <c r="A1094" s="365" t="s">
        <v>965</v>
      </c>
      <c r="B1094" s="348"/>
      <c r="C1094" s="348"/>
      <c r="D1094" s="349"/>
      <c r="E1094" s="348"/>
      <c r="F1094" s="345"/>
      <c r="G1094" s="346"/>
      <c r="H1094" s="348">
        <v>0</v>
      </c>
      <c r="I1094" s="345"/>
      <c r="J1094" s="349"/>
      <c r="L1094" s="325">
        <f t="shared" si="62"/>
        <v>0</v>
      </c>
      <c r="N1094" s="363"/>
      <c r="O1094" s="363"/>
      <c r="P1094" s="364"/>
    </row>
    <row r="1095" s="325" customFormat="1" ht="16.5" hidden="1" customHeight="1" spans="1:16">
      <c r="A1095" s="365" t="s">
        <v>966</v>
      </c>
      <c r="B1095" s="348"/>
      <c r="C1095" s="348"/>
      <c r="D1095" s="349"/>
      <c r="E1095" s="348"/>
      <c r="F1095" s="345"/>
      <c r="G1095" s="346"/>
      <c r="H1095" s="348">
        <v>0</v>
      </c>
      <c r="I1095" s="345"/>
      <c r="J1095" s="349"/>
      <c r="L1095" s="325">
        <f t="shared" si="62"/>
        <v>0</v>
      </c>
      <c r="N1095" s="363"/>
      <c r="O1095" s="363"/>
      <c r="P1095" s="364"/>
    </row>
    <row r="1096" s="325" customFormat="1" ht="16.5" hidden="1" customHeight="1" spans="1:16">
      <c r="A1096" s="365" t="s">
        <v>967</v>
      </c>
      <c r="B1096" s="348"/>
      <c r="C1096" s="348"/>
      <c r="D1096" s="349"/>
      <c r="E1096" s="348"/>
      <c r="F1096" s="345"/>
      <c r="G1096" s="346"/>
      <c r="H1096" s="348">
        <v>0</v>
      </c>
      <c r="I1096" s="345"/>
      <c r="J1096" s="349"/>
      <c r="L1096" s="325">
        <f t="shared" ref="L1096:L1159" si="69">B1096+C1096+D1096+F1096+G1096+H1096+I1096+J1096</f>
        <v>0</v>
      </c>
      <c r="N1096" s="363"/>
      <c r="O1096" s="363"/>
      <c r="P1096" s="364"/>
    </row>
    <row r="1097" s="325" customFormat="1" ht="16.5" hidden="1" customHeight="1" spans="1:16">
      <c r="A1097" s="365" t="s">
        <v>968</v>
      </c>
      <c r="B1097" s="348"/>
      <c r="C1097" s="348"/>
      <c r="D1097" s="349"/>
      <c r="E1097" s="348"/>
      <c r="F1097" s="345"/>
      <c r="G1097" s="346"/>
      <c r="H1097" s="348">
        <v>0</v>
      </c>
      <c r="I1097" s="345"/>
      <c r="J1097" s="349"/>
      <c r="L1097" s="325">
        <f t="shared" si="69"/>
        <v>0</v>
      </c>
      <c r="N1097" s="363"/>
      <c r="O1097" s="363"/>
      <c r="P1097" s="364"/>
    </row>
    <row r="1098" s="325" customFormat="1" ht="16.5" hidden="1" customHeight="1" spans="1:16">
      <c r="A1098" s="365" t="s">
        <v>969</v>
      </c>
      <c r="B1098" s="348"/>
      <c r="C1098" s="348"/>
      <c r="D1098" s="349"/>
      <c r="E1098" s="348"/>
      <c r="F1098" s="345"/>
      <c r="G1098" s="346"/>
      <c r="H1098" s="348">
        <v>0</v>
      </c>
      <c r="I1098" s="345"/>
      <c r="J1098" s="349"/>
      <c r="L1098" s="325">
        <f t="shared" si="69"/>
        <v>0</v>
      </c>
      <c r="N1098" s="363"/>
      <c r="O1098" s="363"/>
      <c r="P1098" s="364"/>
    </row>
    <row r="1099" s="325" customFormat="1" ht="16.5" hidden="1" customHeight="1" spans="1:16">
      <c r="A1099" s="365" t="s">
        <v>970</v>
      </c>
      <c r="B1099" s="348"/>
      <c r="C1099" s="348"/>
      <c r="D1099" s="349"/>
      <c r="E1099" s="348"/>
      <c r="F1099" s="345"/>
      <c r="G1099" s="346"/>
      <c r="H1099" s="348">
        <v>0</v>
      </c>
      <c r="I1099" s="345"/>
      <c r="J1099" s="349"/>
      <c r="L1099" s="325">
        <f t="shared" si="69"/>
        <v>0</v>
      </c>
      <c r="N1099" s="363"/>
      <c r="O1099" s="363"/>
      <c r="P1099" s="364"/>
    </row>
    <row r="1100" s="325" customFormat="1" ht="16.5" hidden="1" customHeight="1" spans="1:16">
      <c r="A1100" s="365" t="s">
        <v>971</v>
      </c>
      <c r="B1100" s="348"/>
      <c r="C1100" s="348"/>
      <c r="D1100" s="349"/>
      <c r="E1100" s="348"/>
      <c r="F1100" s="345"/>
      <c r="G1100" s="346"/>
      <c r="H1100" s="348">
        <v>0</v>
      </c>
      <c r="I1100" s="345"/>
      <c r="J1100" s="349"/>
      <c r="L1100" s="325">
        <f t="shared" si="69"/>
        <v>0</v>
      </c>
      <c r="N1100" s="363"/>
      <c r="O1100" s="363"/>
      <c r="P1100" s="364"/>
    </row>
    <row r="1101" s="325" customFormat="1" ht="16.5" customHeight="1" spans="1:16">
      <c r="A1101" s="365" t="s">
        <v>164</v>
      </c>
      <c r="B1101" s="348"/>
      <c r="C1101" s="348"/>
      <c r="D1101" s="349"/>
      <c r="E1101" s="348"/>
      <c r="F1101" s="345"/>
      <c r="G1101" s="346"/>
      <c r="H1101" s="348">
        <v>195</v>
      </c>
      <c r="I1101" s="345"/>
      <c r="J1101" s="349"/>
      <c r="L1101" s="325">
        <f t="shared" si="69"/>
        <v>195</v>
      </c>
      <c r="N1101" s="363"/>
      <c r="O1101" s="363"/>
      <c r="P1101" s="364"/>
    </row>
    <row r="1102" s="325" customFormat="1" ht="16.5" customHeight="1" spans="1:16">
      <c r="A1102" s="365" t="s">
        <v>972</v>
      </c>
      <c r="B1102" s="348"/>
      <c r="C1102" s="348"/>
      <c r="D1102" s="349"/>
      <c r="E1102" s="348"/>
      <c r="F1102" s="345"/>
      <c r="G1102" s="346"/>
      <c r="H1102" s="348">
        <v>1462</v>
      </c>
      <c r="I1102" s="345"/>
      <c r="J1102" s="349"/>
      <c r="L1102" s="325">
        <f t="shared" si="69"/>
        <v>1462</v>
      </c>
      <c r="N1102" s="363"/>
      <c r="O1102" s="363"/>
      <c r="P1102" s="364"/>
    </row>
    <row r="1103" s="326" customFormat="1" ht="16.5" hidden="1" customHeight="1" spans="1:16">
      <c r="A1103" s="347" t="s">
        <v>973</v>
      </c>
      <c r="B1103" s="348"/>
      <c r="C1103" s="348">
        <v>0</v>
      </c>
      <c r="D1103" s="349"/>
      <c r="E1103" s="348"/>
      <c r="F1103" s="345"/>
      <c r="G1103" s="346"/>
      <c r="H1103" s="348"/>
      <c r="I1103" s="345"/>
      <c r="J1103" s="349"/>
      <c r="K1103" s="325"/>
      <c r="L1103" s="325">
        <f t="shared" si="69"/>
        <v>0</v>
      </c>
      <c r="M1103" s="325"/>
      <c r="N1103" s="363"/>
      <c r="O1103" s="363"/>
      <c r="P1103" s="364"/>
    </row>
    <row r="1104" s="326" customFormat="1" ht="16.5" hidden="1" customHeight="1" spans="1:16">
      <c r="A1104" s="347" t="s">
        <v>974</v>
      </c>
      <c r="B1104" s="348"/>
      <c r="C1104" s="348">
        <v>0</v>
      </c>
      <c r="D1104" s="349"/>
      <c r="E1104" s="348"/>
      <c r="F1104" s="345"/>
      <c r="G1104" s="346"/>
      <c r="H1104" s="348"/>
      <c r="I1104" s="345"/>
      <c r="J1104" s="349"/>
      <c r="K1104" s="325"/>
      <c r="L1104" s="325">
        <f t="shared" si="69"/>
        <v>0</v>
      </c>
      <c r="M1104" s="325"/>
      <c r="N1104" s="363"/>
      <c r="O1104" s="363"/>
      <c r="P1104" s="364"/>
    </row>
    <row r="1105" s="326" customFormat="1" ht="16.5" hidden="1" customHeight="1" spans="1:16">
      <c r="A1105" s="347" t="s">
        <v>975</v>
      </c>
      <c r="B1105" s="348"/>
      <c r="C1105" s="348">
        <v>0</v>
      </c>
      <c r="D1105" s="349"/>
      <c r="E1105" s="348"/>
      <c r="F1105" s="345"/>
      <c r="G1105" s="346"/>
      <c r="H1105" s="348"/>
      <c r="I1105" s="345"/>
      <c r="J1105" s="349"/>
      <c r="K1105" s="325"/>
      <c r="L1105" s="325">
        <f t="shared" si="69"/>
        <v>0</v>
      </c>
      <c r="M1105" s="325"/>
      <c r="N1105" s="363"/>
      <c r="O1105" s="363"/>
      <c r="P1105" s="364"/>
    </row>
    <row r="1106" s="326" customFormat="1" ht="16.5" hidden="1" customHeight="1" spans="1:16">
      <c r="A1106" s="347" t="s">
        <v>976</v>
      </c>
      <c r="B1106" s="348"/>
      <c r="C1106" s="348">
        <v>0</v>
      </c>
      <c r="D1106" s="349"/>
      <c r="E1106" s="348"/>
      <c r="F1106" s="345"/>
      <c r="G1106" s="346"/>
      <c r="H1106" s="348"/>
      <c r="I1106" s="345"/>
      <c r="J1106" s="349"/>
      <c r="K1106" s="325"/>
      <c r="L1106" s="325">
        <f t="shared" si="69"/>
        <v>0</v>
      </c>
      <c r="M1106" s="325"/>
      <c r="N1106" s="363"/>
      <c r="O1106" s="363"/>
      <c r="P1106" s="364"/>
    </row>
    <row r="1107" s="326" customFormat="1" ht="16.5" hidden="1" customHeight="1" spans="1:16">
      <c r="A1107" s="347" t="s">
        <v>977</v>
      </c>
      <c r="B1107" s="348"/>
      <c r="C1107" s="348">
        <v>0</v>
      </c>
      <c r="D1107" s="349"/>
      <c r="E1107" s="348"/>
      <c r="F1107" s="345"/>
      <c r="G1107" s="346"/>
      <c r="H1107" s="348"/>
      <c r="I1107" s="345"/>
      <c r="J1107" s="349"/>
      <c r="K1107" s="325"/>
      <c r="L1107" s="325">
        <f t="shared" si="69"/>
        <v>0</v>
      </c>
      <c r="M1107" s="325"/>
      <c r="N1107" s="363"/>
      <c r="O1107" s="363"/>
      <c r="P1107" s="364"/>
    </row>
    <row r="1108" s="326" customFormat="1" ht="16.5" hidden="1" customHeight="1" spans="1:16">
      <c r="A1108" s="347" t="s">
        <v>978</v>
      </c>
      <c r="B1108" s="348"/>
      <c r="C1108" s="348">
        <v>0</v>
      </c>
      <c r="D1108" s="349"/>
      <c r="E1108" s="348"/>
      <c r="F1108" s="345"/>
      <c r="G1108" s="346"/>
      <c r="H1108" s="348"/>
      <c r="I1108" s="345"/>
      <c r="J1108" s="349"/>
      <c r="K1108" s="325"/>
      <c r="L1108" s="325">
        <f t="shared" si="69"/>
        <v>0</v>
      </c>
      <c r="M1108" s="325"/>
      <c r="N1108" s="363"/>
      <c r="O1108" s="363"/>
      <c r="P1108" s="364"/>
    </row>
    <row r="1109" s="326" customFormat="1" ht="16.5" hidden="1" customHeight="1" spans="1:16">
      <c r="A1109" s="347" t="s">
        <v>979</v>
      </c>
      <c r="B1109" s="348"/>
      <c r="C1109" s="348">
        <v>0</v>
      </c>
      <c r="D1109" s="349"/>
      <c r="E1109" s="348"/>
      <c r="F1109" s="345"/>
      <c r="G1109" s="346"/>
      <c r="H1109" s="348"/>
      <c r="I1109" s="345"/>
      <c r="J1109" s="349"/>
      <c r="K1109" s="325"/>
      <c r="L1109" s="325">
        <f t="shared" si="69"/>
        <v>0</v>
      </c>
      <c r="M1109" s="325"/>
      <c r="N1109" s="363"/>
      <c r="O1109" s="363"/>
      <c r="P1109" s="364"/>
    </row>
    <row r="1110" s="326" customFormat="1" ht="16.5" customHeight="1" spans="1:16">
      <c r="A1110" s="347" t="s">
        <v>980</v>
      </c>
      <c r="B1110" s="348">
        <v>2160</v>
      </c>
      <c r="C1110" s="348">
        <v>2088</v>
      </c>
      <c r="D1110" s="349">
        <f>C1110/B1110*100</f>
        <v>96.6666666666667</v>
      </c>
      <c r="E1110" s="348">
        <v>752</v>
      </c>
      <c r="F1110" s="345">
        <f>C1110-E1110</f>
        <v>1336</v>
      </c>
      <c r="G1110" s="346">
        <f>F1110/E1110*100</f>
        <v>177.659574468085</v>
      </c>
      <c r="H1110" s="348">
        <f>SUM(H1111:H1115)</f>
        <v>2004</v>
      </c>
      <c r="I1110" s="345">
        <f>H1110-B1110</f>
        <v>-156</v>
      </c>
      <c r="J1110" s="349">
        <f>I1110/B1110*100</f>
        <v>-7.22222222222222</v>
      </c>
      <c r="K1110" s="325"/>
      <c r="L1110" s="325">
        <f t="shared" si="69"/>
        <v>7699.10401891253</v>
      </c>
      <c r="M1110" s="325"/>
      <c r="N1110" s="363"/>
      <c r="O1110" s="363"/>
      <c r="P1110" s="364"/>
    </row>
    <row r="1111" ht="16.5" customHeight="1" spans="1:16">
      <c r="A1111" s="347" t="s">
        <v>981</v>
      </c>
      <c r="B1111" s="348"/>
      <c r="C1111" s="348">
        <v>0</v>
      </c>
      <c r="D1111" s="349"/>
      <c r="E1111" s="348"/>
      <c r="F1111" s="345"/>
      <c r="G1111" s="346"/>
      <c r="H1111" s="348">
        <v>57</v>
      </c>
      <c r="I1111" s="345"/>
      <c r="J1111" s="349"/>
      <c r="K1111" s="325"/>
      <c r="L1111" s="325">
        <f t="shared" si="69"/>
        <v>57</v>
      </c>
      <c r="M1111" s="325"/>
      <c r="N1111" s="363"/>
      <c r="O1111" s="363"/>
      <c r="P1111" s="364"/>
    </row>
    <row r="1112" ht="16.5" hidden="1" customHeight="1" spans="1:16">
      <c r="A1112" s="347" t="s">
        <v>982</v>
      </c>
      <c r="B1112" s="348"/>
      <c r="C1112" s="348"/>
      <c r="D1112" s="349"/>
      <c r="E1112" s="348"/>
      <c r="F1112" s="345"/>
      <c r="G1112" s="346"/>
      <c r="H1112" s="348">
        <v>0</v>
      </c>
      <c r="I1112" s="345"/>
      <c r="J1112" s="349"/>
      <c r="K1112" s="325"/>
      <c r="L1112" s="325">
        <f t="shared" si="69"/>
        <v>0</v>
      </c>
      <c r="M1112" s="325"/>
      <c r="N1112" s="363"/>
      <c r="O1112" s="363"/>
      <c r="P1112" s="364"/>
    </row>
    <row r="1113" ht="16.5" customHeight="1" spans="1:16">
      <c r="A1113" s="347" t="s">
        <v>983</v>
      </c>
      <c r="B1113" s="348"/>
      <c r="C1113" s="348"/>
      <c r="D1113" s="349"/>
      <c r="E1113" s="348"/>
      <c r="F1113" s="345"/>
      <c r="G1113" s="346"/>
      <c r="H1113" s="348">
        <v>512</v>
      </c>
      <c r="I1113" s="345"/>
      <c r="J1113" s="349"/>
      <c r="K1113" s="325"/>
      <c r="L1113" s="325">
        <f t="shared" si="69"/>
        <v>512</v>
      </c>
      <c r="M1113" s="325"/>
      <c r="N1113" s="363"/>
      <c r="O1113" s="363"/>
      <c r="P1113" s="364"/>
    </row>
    <row r="1114" ht="16.5" hidden="1" customHeight="1" spans="1:16">
      <c r="A1114" s="347" t="s">
        <v>984</v>
      </c>
      <c r="B1114" s="348"/>
      <c r="C1114" s="348"/>
      <c r="D1114" s="349"/>
      <c r="E1114" s="348"/>
      <c r="F1114" s="345"/>
      <c r="G1114" s="346"/>
      <c r="H1114" s="348">
        <v>0</v>
      </c>
      <c r="I1114" s="345"/>
      <c r="J1114" s="349"/>
      <c r="K1114" s="325"/>
      <c r="L1114" s="325">
        <f t="shared" si="69"/>
        <v>0</v>
      </c>
      <c r="M1114" s="325"/>
      <c r="N1114" s="363"/>
      <c r="O1114" s="363"/>
      <c r="P1114" s="364"/>
    </row>
    <row r="1115" ht="16.5" customHeight="1" spans="1:16">
      <c r="A1115" s="347" t="s">
        <v>985</v>
      </c>
      <c r="B1115" s="348"/>
      <c r="C1115" s="348"/>
      <c r="D1115" s="349"/>
      <c r="E1115" s="348"/>
      <c r="F1115" s="345"/>
      <c r="G1115" s="346"/>
      <c r="H1115" s="348">
        <v>1435</v>
      </c>
      <c r="I1115" s="345"/>
      <c r="J1115" s="349"/>
      <c r="K1115" s="325"/>
      <c r="L1115" s="325">
        <f t="shared" si="69"/>
        <v>1435</v>
      </c>
      <c r="M1115" s="325"/>
      <c r="N1115" s="363"/>
      <c r="O1115" s="363"/>
      <c r="P1115" s="364"/>
    </row>
    <row r="1116" s="326" customFormat="1" ht="16.5" customHeight="1" spans="1:16">
      <c r="A1116" s="347" t="s">
        <v>986</v>
      </c>
      <c r="B1116" s="348">
        <v>382</v>
      </c>
      <c r="C1116" s="348">
        <v>50</v>
      </c>
      <c r="D1116" s="349">
        <f>C1116/B1116*100</f>
        <v>13.0890052356021</v>
      </c>
      <c r="E1116" s="348"/>
      <c r="F1116" s="345">
        <f>C1116-E1116</f>
        <v>50</v>
      </c>
      <c r="G1116" s="346"/>
      <c r="H1116" s="348">
        <f>SUM(H1117:H1128)</f>
        <v>382</v>
      </c>
      <c r="I1116" s="345">
        <f>H1116-B1116</f>
        <v>0</v>
      </c>
      <c r="J1116" s="349">
        <f>I1116/B1116*100</f>
        <v>0</v>
      </c>
      <c r="K1116" s="325"/>
      <c r="L1116" s="325">
        <f t="shared" si="69"/>
        <v>877.089005235602</v>
      </c>
      <c r="M1116" s="325"/>
      <c r="N1116" s="363"/>
      <c r="O1116" s="363"/>
      <c r="P1116" s="364"/>
    </row>
    <row r="1117" ht="16.5" hidden="1" customHeight="1" spans="1:16">
      <c r="A1117" s="347" t="s">
        <v>987</v>
      </c>
      <c r="B1117" s="348"/>
      <c r="C1117" s="348">
        <v>0</v>
      </c>
      <c r="D1117" s="349"/>
      <c r="E1117" s="348"/>
      <c r="F1117" s="345"/>
      <c r="G1117" s="346"/>
      <c r="H1117" s="348">
        <v>0</v>
      </c>
      <c r="I1117" s="345"/>
      <c r="J1117" s="349"/>
      <c r="K1117" s="325"/>
      <c r="L1117" s="325">
        <f t="shared" si="69"/>
        <v>0</v>
      </c>
      <c r="M1117" s="325"/>
      <c r="N1117" s="363"/>
      <c r="O1117" s="363"/>
      <c r="P1117" s="364"/>
    </row>
    <row r="1118" ht="16.5" hidden="1" customHeight="1" spans="1:16">
      <c r="A1118" s="347" t="s">
        <v>988</v>
      </c>
      <c r="B1118" s="348"/>
      <c r="C1118" s="348">
        <v>0</v>
      </c>
      <c r="D1118" s="349"/>
      <c r="E1118" s="348"/>
      <c r="F1118" s="345"/>
      <c r="G1118" s="346"/>
      <c r="H1118" s="348">
        <v>0</v>
      </c>
      <c r="I1118" s="345"/>
      <c r="J1118" s="349"/>
      <c r="K1118" s="325"/>
      <c r="L1118" s="325">
        <f t="shared" si="69"/>
        <v>0</v>
      </c>
      <c r="M1118" s="325"/>
      <c r="N1118" s="363"/>
      <c r="O1118" s="363"/>
      <c r="P1118" s="364"/>
    </row>
    <row r="1119" ht="16.5" customHeight="1" spans="1:16">
      <c r="A1119" s="347" t="s">
        <v>989</v>
      </c>
      <c r="B1119" s="348"/>
      <c r="C1119" s="348">
        <v>0</v>
      </c>
      <c r="D1119" s="349"/>
      <c r="E1119" s="348"/>
      <c r="F1119" s="345"/>
      <c r="G1119" s="346"/>
      <c r="H1119" s="348">
        <v>382</v>
      </c>
      <c r="I1119" s="345"/>
      <c r="J1119" s="349"/>
      <c r="K1119" s="325"/>
      <c r="L1119" s="325">
        <f t="shared" si="69"/>
        <v>382</v>
      </c>
      <c r="M1119" s="325"/>
      <c r="N1119" s="363"/>
      <c r="O1119" s="363"/>
      <c r="P1119" s="364"/>
    </row>
    <row r="1120" ht="16.5" hidden="1" customHeight="1" spans="1:16">
      <c r="A1120" s="347" t="s">
        <v>990</v>
      </c>
      <c r="B1120" s="348"/>
      <c r="C1120" s="348">
        <v>0</v>
      </c>
      <c r="D1120" s="349"/>
      <c r="E1120" s="348"/>
      <c r="F1120" s="345"/>
      <c r="G1120" s="346"/>
      <c r="H1120" s="348">
        <v>0</v>
      </c>
      <c r="I1120" s="345"/>
      <c r="J1120" s="349"/>
      <c r="K1120" s="325"/>
      <c r="L1120" s="325">
        <f t="shared" si="69"/>
        <v>0</v>
      </c>
      <c r="M1120" s="325"/>
      <c r="N1120" s="363"/>
      <c r="O1120" s="363"/>
      <c r="P1120" s="364"/>
    </row>
    <row r="1121" ht="16.5" hidden="1" customHeight="1" spans="1:16">
      <c r="A1121" s="347" t="s">
        <v>991</v>
      </c>
      <c r="B1121" s="348"/>
      <c r="C1121" s="348">
        <v>0</v>
      </c>
      <c r="D1121" s="349"/>
      <c r="E1121" s="348"/>
      <c r="F1121" s="345"/>
      <c r="G1121" s="346"/>
      <c r="H1121" s="348">
        <v>0</v>
      </c>
      <c r="I1121" s="345"/>
      <c r="J1121" s="349"/>
      <c r="K1121" s="325"/>
      <c r="L1121" s="325">
        <f t="shared" si="69"/>
        <v>0</v>
      </c>
      <c r="M1121" s="325"/>
      <c r="N1121" s="363"/>
      <c r="O1121" s="363"/>
      <c r="P1121" s="364"/>
    </row>
    <row r="1122" ht="16.5" hidden="1" customHeight="1" spans="1:16">
      <c r="A1122" s="347" t="s">
        <v>992</v>
      </c>
      <c r="B1122" s="348"/>
      <c r="C1122" s="348">
        <v>0</v>
      </c>
      <c r="D1122" s="349"/>
      <c r="E1122" s="348"/>
      <c r="F1122" s="345"/>
      <c r="G1122" s="346"/>
      <c r="H1122" s="348">
        <v>0</v>
      </c>
      <c r="I1122" s="345"/>
      <c r="J1122" s="349"/>
      <c r="K1122" s="325"/>
      <c r="L1122" s="325">
        <f t="shared" si="69"/>
        <v>0</v>
      </c>
      <c r="M1122" s="325"/>
      <c r="N1122" s="363"/>
      <c r="O1122" s="363"/>
      <c r="P1122" s="364"/>
    </row>
    <row r="1123" ht="16.5" hidden="1" customHeight="1" spans="1:16">
      <c r="A1123" s="347" t="s">
        <v>993</v>
      </c>
      <c r="B1123" s="348"/>
      <c r="C1123" s="348">
        <v>0</v>
      </c>
      <c r="D1123" s="349"/>
      <c r="E1123" s="348"/>
      <c r="F1123" s="345"/>
      <c r="G1123" s="346"/>
      <c r="H1123" s="348">
        <v>0</v>
      </c>
      <c r="I1123" s="345"/>
      <c r="J1123" s="349"/>
      <c r="K1123" s="325"/>
      <c r="L1123" s="325">
        <f t="shared" si="69"/>
        <v>0</v>
      </c>
      <c r="M1123" s="325"/>
      <c r="N1123" s="363"/>
      <c r="O1123" s="363"/>
      <c r="P1123" s="364"/>
    </row>
    <row r="1124" ht="16.5" hidden="1" customHeight="1" spans="1:16">
      <c r="A1124" s="347" t="s">
        <v>994</v>
      </c>
      <c r="B1124" s="348"/>
      <c r="C1124" s="348">
        <v>0</v>
      </c>
      <c r="D1124" s="349"/>
      <c r="E1124" s="348"/>
      <c r="F1124" s="345"/>
      <c r="G1124" s="346"/>
      <c r="H1124" s="348">
        <v>0</v>
      </c>
      <c r="I1124" s="345"/>
      <c r="J1124" s="349"/>
      <c r="K1124" s="325"/>
      <c r="L1124" s="325">
        <f t="shared" si="69"/>
        <v>0</v>
      </c>
      <c r="M1124" s="325"/>
      <c r="N1124" s="363"/>
      <c r="O1124" s="363"/>
      <c r="P1124" s="364"/>
    </row>
    <row r="1125" ht="16.5" hidden="1" customHeight="1" spans="1:16">
      <c r="A1125" s="347" t="s">
        <v>995</v>
      </c>
      <c r="B1125" s="348"/>
      <c r="C1125" s="348">
        <v>0</v>
      </c>
      <c r="D1125" s="349"/>
      <c r="E1125" s="348"/>
      <c r="F1125" s="345"/>
      <c r="G1125" s="346"/>
      <c r="H1125" s="348">
        <v>0</v>
      </c>
      <c r="I1125" s="345"/>
      <c r="J1125" s="349"/>
      <c r="K1125" s="325"/>
      <c r="L1125" s="325">
        <f t="shared" si="69"/>
        <v>0</v>
      </c>
      <c r="M1125" s="325"/>
      <c r="N1125" s="363"/>
      <c r="O1125" s="363"/>
      <c r="P1125" s="364"/>
    </row>
    <row r="1126" ht="16.5" hidden="1" customHeight="1" spans="1:16">
      <c r="A1126" s="347" t="s">
        <v>996</v>
      </c>
      <c r="B1126" s="348"/>
      <c r="C1126" s="348">
        <v>0</v>
      </c>
      <c r="D1126" s="349"/>
      <c r="E1126" s="348"/>
      <c r="F1126" s="345"/>
      <c r="G1126" s="346"/>
      <c r="H1126" s="348">
        <v>0</v>
      </c>
      <c r="I1126" s="345"/>
      <c r="J1126" s="349"/>
      <c r="K1126" s="325"/>
      <c r="L1126" s="325">
        <f t="shared" si="69"/>
        <v>0</v>
      </c>
      <c r="M1126" s="325"/>
      <c r="N1126" s="363"/>
      <c r="O1126" s="363"/>
      <c r="P1126" s="364"/>
    </row>
    <row r="1127" ht="16.5" hidden="1" customHeight="1" spans="1:16">
      <c r="A1127" s="347" t="s">
        <v>997</v>
      </c>
      <c r="B1127" s="348"/>
      <c r="C1127" s="348">
        <v>0</v>
      </c>
      <c r="D1127" s="349"/>
      <c r="E1127" s="348"/>
      <c r="F1127" s="345"/>
      <c r="G1127" s="346"/>
      <c r="H1127" s="348">
        <v>0</v>
      </c>
      <c r="I1127" s="345"/>
      <c r="J1127" s="349"/>
      <c r="K1127" s="325"/>
      <c r="L1127" s="325">
        <f t="shared" si="69"/>
        <v>0</v>
      </c>
      <c r="M1127" s="325"/>
      <c r="N1127" s="363"/>
      <c r="O1127" s="363"/>
      <c r="P1127" s="364"/>
    </row>
    <row r="1128" ht="16.5" hidden="1" customHeight="1" spans="1:16">
      <c r="A1128" s="347" t="s">
        <v>998</v>
      </c>
      <c r="B1128" s="348"/>
      <c r="C1128" s="348">
        <v>0</v>
      </c>
      <c r="D1128" s="349"/>
      <c r="E1128" s="348"/>
      <c r="F1128" s="345"/>
      <c r="G1128" s="346"/>
      <c r="H1128" s="348">
        <v>0</v>
      </c>
      <c r="I1128" s="345"/>
      <c r="J1128" s="349"/>
      <c r="K1128" s="325"/>
      <c r="L1128" s="325">
        <f t="shared" si="69"/>
        <v>0</v>
      </c>
      <c r="M1128" s="325"/>
      <c r="N1128" s="363"/>
      <c r="O1128" s="363"/>
      <c r="P1128" s="364"/>
    </row>
    <row r="1129" s="325" customFormat="1" ht="16.5" customHeight="1" spans="1:16">
      <c r="A1129" s="344" t="s">
        <v>999</v>
      </c>
      <c r="B1129" s="345">
        <f>B1130+B1140+B1147+B1148+B1161+B1165+B1169</f>
        <v>15995</v>
      </c>
      <c r="C1129" s="345">
        <f>C1130+C1140+C1147+C1148+C1161+C1165+C1169</f>
        <v>24340</v>
      </c>
      <c r="D1129" s="349">
        <f>C1129/B1129*100</f>
        <v>152.172553923101</v>
      </c>
      <c r="E1129" s="345">
        <f>E1130+E1140+E1147+E1148+E1161+E1165+E1169</f>
        <v>41264</v>
      </c>
      <c r="F1129" s="345">
        <f>C1129-E1129</f>
        <v>-16924</v>
      </c>
      <c r="G1129" s="346">
        <f>F1129/E1129*100</f>
        <v>-41.013958898798</v>
      </c>
      <c r="H1129" s="345">
        <f>H1130+H1140+H1147+H1148+H1161+H1165+H1169</f>
        <v>15969.785728</v>
      </c>
      <c r="I1129" s="345">
        <f>H1129-B1129</f>
        <v>-25.2142719999993</v>
      </c>
      <c r="J1129" s="349">
        <f>I1129/B1129*100</f>
        <v>-0.157638462019376</v>
      </c>
      <c r="L1129" s="325">
        <f t="shared" si="69"/>
        <v>39466.5724125623</v>
      </c>
      <c r="N1129" s="362"/>
      <c r="O1129" s="362"/>
      <c r="P1129" s="364"/>
    </row>
    <row r="1130" s="326" customFormat="1" ht="16.5" customHeight="1" spans="1:16">
      <c r="A1130" s="347" t="s">
        <v>1000</v>
      </c>
      <c r="B1130" s="348">
        <v>4472</v>
      </c>
      <c r="C1130" s="348">
        <v>6322</v>
      </c>
      <c r="D1130" s="349">
        <f>C1130/B1130*100</f>
        <v>141.368515205725</v>
      </c>
      <c r="E1130" s="348">
        <v>5655</v>
      </c>
      <c r="F1130" s="345">
        <f>C1130-E1130</f>
        <v>667</v>
      </c>
      <c r="G1130" s="346">
        <f>F1130/E1130*100</f>
        <v>11.7948717948718</v>
      </c>
      <c r="H1130" s="348">
        <f>SUM(H1131:H1139)</f>
        <v>4375.279814</v>
      </c>
      <c r="I1130" s="345">
        <f>H1130-B1130</f>
        <v>-96.7201859999996</v>
      </c>
      <c r="J1130" s="349">
        <f>I1130/B1130*100</f>
        <v>-2.16279485688729</v>
      </c>
      <c r="K1130" s="325"/>
      <c r="L1130" s="325">
        <f t="shared" si="69"/>
        <v>15890.5602201437</v>
      </c>
      <c r="M1130" s="325"/>
      <c r="N1130" s="363"/>
      <c r="O1130" s="363"/>
      <c r="P1130" s="364"/>
    </row>
    <row r="1131" ht="16.5" customHeight="1" spans="1:16">
      <c r="A1131" s="365" t="s">
        <v>155</v>
      </c>
      <c r="B1131" s="348"/>
      <c r="C1131" s="348"/>
      <c r="D1131" s="349"/>
      <c r="E1131" s="348"/>
      <c r="F1131" s="345"/>
      <c r="G1131" s="346"/>
      <c r="H1131" s="348">
        <f>2828.019814-600</f>
        <v>2228.019814</v>
      </c>
      <c r="I1131" s="345"/>
      <c r="J1131" s="349"/>
      <c r="K1131" s="325"/>
      <c r="L1131" s="325">
        <f t="shared" si="69"/>
        <v>2228.019814</v>
      </c>
      <c r="M1131" s="325"/>
      <c r="N1131" s="363"/>
      <c r="O1131" s="363"/>
      <c r="P1131" s="364"/>
    </row>
    <row r="1132" ht="16.5" customHeight="1" spans="1:16">
      <c r="A1132" s="347" t="s">
        <v>156</v>
      </c>
      <c r="B1132" s="348"/>
      <c r="C1132" s="348"/>
      <c r="D1132" s="349"/>
      <c r="E1132" s="348"/>
      <c r="F1132" s="345"/>
      <c r="G1132" s="346"/>
      <c r="H1132" s="348">
        <v>50</v>
      </c>
      <c r="I1132" s="345"/>
      <c r="J1132" s="349"/>
      <c r="K1132" s="325"/>
      <c r="L1132" s="325">
        <f t="shared" si="69"/>
        <v>50</v>
      </c>
      <c r="M1132" s="325"/>
      <c r="N1132" s="363"/>
      <c r="O1132" s="363"/>
      <c r="P1132" s="364"/>
    </row>
    <row r="1133" ht="16.5" hidden="1" customHeight="1" spans="1:16">
      <c r="A1133" s="347" t="s">
        <v>157</v>
      </c>
      <c r="B1133" s="348"/>
      <c r="C1133" s="348"/>
      <c r="D1133" s="349"/>
      <c r="E1133" s="348"/>
      <c r="F1133" s="345"/>
      <c r="G1133" s="346"/>
      <c r="H1133" s="348">
        <v>0</v>
      </c>
      <c r="I1133" s="345"/>
      <c r="J1133" s="349"/>
      <c r="K1133" s="325"/>
      <c r="L1133" s="325">
        <f t="shared" si="69"/>
        <v>0</v>
      </c>
      <c r="M1133" s="325"/>
      <c r="N1133" s="363"/>
      <c r="O1133" s="363"/>
      <c r="P1133" s="364"/>
    </row>
    <row r="1134" ht="16.5" hidden="1" customHeight="1" spans="1:16">
      <c r="A1134" s="347" t="s">
        <v>1001</v>
      </c>
      <c r="B1134" s="348"/>
      <c r="C1134" s="348"/>
      <c r="D1134" s="349"/>
      <c r="E1134" s="348"/>
      <c r="F1134" s="345"/>
      <c r="G1134" s="346"/>
      <c r="H1134" s="348">
        <v>0</v>
      </c>
      <c r="I1134" s="345"/>
      <c r="J1134" s="349"/>
      <c r="K1134" s="325"/>
      <c r="L1134" s="325">
        <f t="shared" si="69"/>
        <v>0</v>
      </c>
      <c r="M1134" s="325"/>
      <c r="N1134" s="363"/>
      <c r="O1134" s="363"/>
      <c r="P1134" s="364"/>
    </row>
    <row r="1135" ht="16.5" customHeight="1" spans="1:16">
      <c r="A1135" s="347" t="s">
        <v>1002</v>
      </c>
      <c r="B1135" s="348"/>
      <c r="C1135" s="348"/>
      <c r="D1135" s="349"/>
      <c r="E1135" s="348"/>
      <c r="F1135" s="345"/>
      <c r="G1135" s="346"/>
      <c r="H1135" s="348">
        <v>30</v>
      </c>
      <c r="I1135" s="345"/>
      <c r="J1135" s="349"/>
      <c r="K1135" s="325"/>
      <c r="L1135" s="325">
        <f t="shared" si="69"/>
        <v>30</v>
      </c>
      <c r="M1135" s="325"/>
      <c r="N1135" s="363"/>
      <c r="O1135" s="363"/>
      <c r="P1135" s="364"/>
    </row>
    <row r="1136" ht="16.5" customHeight="1" spans="1:16">
      <c r="A1136" s="347" t="s">
        <v>1003</v>
      </c>
      <c r="B1136" s="348"/>
      <c r="C1136" s="348"/>
      <c r="D1136" s="349"/>
      <c r="E1136" s="348"/>
      <c r="F1136" s="345"/>
      <c r="G1136" s="346"/>
      <c r="H1136" s="348">
        <v>120</v>
      </c>
      <c r="I1136" s="345"/>
      <c r="J1136" s="349"/>
      <c r="K1136" s="325"/>
      <c r="L1136" s="325">
        <f t="shared" si="69"/>
        <v>120</v>
      </c>
      <c r="M1136" s="325"/>
      <c r="N1136" s="363"/>
      <c r="O1136" s="363"/>
      <c r="P1136" s="364"/>
    </row>
    <row r="1137" ht="16.5" customHeight="1" spans="1:16">
      <c r="A1137" s="347" t="s">
        <v>1004</v>
      </c>
      <c r="B1137" s="348"/>
      <c r="C1137" s="348"/>
      <c r="D1137" s="349"/>
      <c r="E1137" s="348"/>
      <c r="F1137" s="345"/>
      <c r="G1137" s="346"/>
      <c r="H1137" s="348">
        <v>210.5</v>
      </c>
      <c r="I1137" s="345"/>
      <c r="J1137" s="349"/>
      <c r="K1137" s="325"/>
      <c r="L1137" s="325">
        <f t="shared" si="69"/>
        <v>210.5</v>
      </c>
      <c r="M1137" s="325"/>
      <c r="N1137" s="363"/>
      <c r="O1137" s="363"/>
      <c r="P1137" s="364"/>
    </row>
    <row r="1138" ht="16.5" customHeight="1" spans="1:16">
      <c r="A1138" s="347" t="s">
        <v>164</v>
      </c>
      <c r="B1138" s="348"/>
      <c r="C1138" s="348"/>
      <c r="D1138" s="349"/>
      <c r="E1138" s="348"/>
      <c r="F1138" s="345"/>
      <c r="G1138" s="346"/>
      <c r="H1138" s="348">
        <v>881.76</v>
      </c>
      <c r="I1138" s="345"/>
      <c r="J1138" s="349"/>
      <c r="K1138" s="325"/>
      <c r="L1138" s="325">
        <f t="shared" si="69"/>
        <v>881.76</v>
      </c>
      <c r="M1138" s="325"/>
      <c r="N1138" s="363"/>
      <c r="O1138" s="363"/>
      <c r="P1138" s="364"/>
    </row>
    <row r="1139" ht="16.5" customHeight="1" spans="1:16">
      <c r="A1139" s="347" t="s">
        <v>1005</v>
      </c>
      <c r="B1139" s="348"/>
      <c r="C1139" s="348"/>
      <c r="D1139" s="349"/>
      <c r="E1139" s="348"/>
      <c r="F1139" s="345"/>
      <c r="G1139" s="346"/>
      <c r="H1139" s="348">
        <f>255+600</f>
        <v>855</v>
      </c>
      <c r="I1139" s="345"/>
      <c r="J1139" s="349"/>
      <c r="K1139" s="325"/>
      <c r="L1139" s="325">
        <f t="shared" si="69"/>
        <v>855</v>
      </c>
      <c r="M1139" s="325"/>
      <c r="N1139" s="363"/>
      <c r="O1139" s="363"/>
      <c r="P1139" s="364"/>
    </row>
    <row r="1140" s="326" customFormat="1" ht="16.5" customHeight="1" spans="1:16">
      <c r="A1140" s="347" t="s">
        <v>1006</v>
      </c>
      <c r="B1140" s="348">
        <v>8192</v>
      </c>
      <c r="C1140" s="348">
        <v>13287</v>
      </c>
      <c r="D1140" s="349">
        <f>C1140/B1140*100</f>
        <v>162.19482421875</v>
      </c>
      <c r="E1140" s="348">
        <v>11164</v>
      </c>
      <c r="F1140" s="345">
        <f>C1140-E1140</f>
        <v>2123</v>
      </c>
      <c r="G1140" s="346">
        <f>F1140/E1140*100</f>
        <v>19.0164815478323</v>
      </c>
      <c r="H1140" s="348">
        <f>SUM(H1141:H1146)</f>
        <v>8248</v>
      </c>
      <c r="I1140" s="345">
        <f>H1140-B1140</f>
        <v>56</v>
      </c>
      <c r="J1140" s="349">
        <f>I1140/B1140*100</f>
        <v>0.68359375</v>
      </c>
      <c r="K1140" s="325"/>
      <c r="L1140" s="325">
        <f t="shared" si="69"/>
        <v>32087.8948995166</v>
      </c>
      <c r="M1140" s="325"/>
      <c r="N1140" s="363"/>
      <c r="O1140" s="363"/>
      <c r="P1140" s="364"/>
    </row>
    <row r="1141" ht="16.5" customHeight="1" spans="1:16">
      <c r="A1141" s="365" t="s">
        <v>155</v>
      </c>
      <c r="B1141" s="348"/>
      <c r="C1141" s="348"/>
      <c r="D1141" s="349"/>
      <c r="E1141" s="348"/>
      <c r="F1141" s="345"/>
      <c r="G1141" s="346"/>
      <c r="H1141" s="348">
        <f>1298-80</f>
        <v>1218</v>
      </c>
      <c r="I1141" s="345"/>
      <c r="J1141" s="349"/>
      <c r="K1141" s="325"/>
      <c r="L1141" s="325">
        <f t="shared" si="69"/>
        <v>1218</v>
      </c>
      <c r="M1141" s="325"/>
      <c r="N1141" s="363"/>
      <c r="O1141" s="363"/>
      <c r="P1141" s="364"/>
    </row>
    <row r="1142" ht="16.5" customHeight="1" spans="1:16">
      <c r="A1142" s="347" t="s">
        <v>156</v>
      </c>
      <c r="B1142" s="348"/>
      <c r="C1142" s="348"/>
      <c r="D1142" s="349"/>
      <c r="E1142" s="348"/>
      <c r="F1142" s="345"/>
      <c r="G1142" s="346"/>
      <c r="H1142" s="348">
        <f>1000+80</f>
        <v>1080</v>
      </c>
      <c r="I1142" s="345"/>
      <c r="J1142" s="349"/>
      <c r="K1142" s="325"/>
      <c r="L1142" s="325">
        <f t="shared" si="69"/>
        <v>1080</v>
      </c>
      <c r="M1142" s="325"/>
      <c r="N1142" s="363"/>
      <c r="O1142" s="363"/>
      <c r="P1142" s="364"/>
    </row>
    <row r="1143" ht="16.5" hidden="1" customHeight="1" spans="1:16">
      <c r="A1143" s="347" t="s">
        <v>157</v>
      </c>
      <c r="B1143" s="348"/>
      <c r="C1143" s="348"/>
      <c r="D1143" s="349"/>
      <c r="E1143" s="348"/>
      <c r="F1143" s="345"/>
      <c r="G1143" s="346"/>
      <c r="H1143" s="348">
        <v>0</v>
      </c>
      <c r="I1143" s="345"/>
      <c r="J1143" s="349"/>
      <c r="K1143" s="325"/>
      <c r="L1143" s="325">
        <f t="shared" si="69"/>
        <v>0</v>
      </c>
      <c r="M1143" s="325"/>
      <c r="N1143" s="363"/>
      <c r="O1143" s="363"/>
      <c r="P1143" s="364"/>
    </row>
    <row r="1144" ht="16.5" customHeight="1" spans="1:16">
      <c r="A1144" s="347" t="s">
        <v>1007</v>
      </c>
      <c r="B1144" s="348"/>
      <c r="C1144" s="348"/>
      <c r="D1144" s="349"/>
      <c r="E1144" s="348"/>
      <c r="F1144" s="345"/>
      <c r="G1144" s="346"/>
      <c r="H1144" s="348">
        <v>2478</v>
      </c>
      <c r="I1144" s="345"/>
      <c r="J1144" s="349"/>
      <c r="K1144" s="325"/>
      <c r="L1144" s="325">
        <f t="shared" si="69"/>
        <v>2478</v>
      </c>
      <c r="M1144" s="325"/>
      <c r="N1144" s="363"/>
      <c r="O1144" s="363"/>
      <c r="P1144" s="364"/>
    </row>
    <row r="1145" ht="16.5" customHeight="1" spans="1:16">
      <c r="A1145" s="347" t="s">
        <v>164</v>
      </c>
      <c r="B1145" s="348"/>
      <c r="C1145" s="348"/>
      <c r="D1145" s="349"/>
      <c r="E1145" s="348"/>
      <c r="F1145" s="345"/>
      <c r="G1145" s="346"/>
      <c r="H1145" s="348">
        <v>1882</v>
      </c>
      <c r="I1145" s="345"/>
      <c r="J1145" s="349"/>
      <c r="K1145" s="325"/>
      <c r="L1145" s="325">
        <f t="shared" si="69"/>
        <v>1882</v>
      </c>
      <c r="M1145" s="325"/>
      <c r="N1145" s="363"/>
      <c r="O1145" s="363"/>
      <c r="P1145" s="364"/>
    </row>
    <row r="1146" ht="16.5" customHeight="1" spans="1:16">
      <c r="A1146" s="347" t="s">
        <v>1008</v>
      </c>
      <c r="B1146" s="348"/>
      <c r="C1146" s="348"/>
      <c r="D1146" s="349"/>
      <c r="E1146" s="348"/>
      <c r="F1146" s="345"/>
      <c r="G1146" s="346"/>
      <c r="H1146" s="348">
        <f>390+1200</f>
        <v>1590</v>
      </c>
      <c r="I1146" s="345"/>
      <c r="J1146" s="349"/>
      <c r="K1146" s="325"/>
      <c r="L1146" s="325">
        <f t="shared" si="69"/>
        <v>1590</v>
      </c>
      <c r="M1146" s="325"/>
      <c r="N1146" s="363"/>
      <c r="O1146" s="363"/>
      <c r="P1146" s="364"/>
    </row>
    <row r="1147" s="326" customFormat="1" ht="16.5" customHeight="1" spans="1:16">
      <c r="A1147" s="347" t="s">
        <v>1009</v>
      </c>
      <c r="B1147" s="348"/>
      <c r="C1147" s="348">
        <v>0</v>
      </c>
      <c r="D1147" s="349"/>
      <c r="E1147" s="348">
        <v>1</v>
      </c>
      <c r="F1147" s="345">
        <f>C1147-E1147</f>
        <v>-1</v>
      </c>
      <c r="G1147" s="346">
        <f>F1147/E1147*100</f>
        <v>-100</v>
      </c>
      <c r="H1147" s="348">
        <v>0</v>
      </c>
      <c r="I1147" s="345">
        <f>H1147-B1147</f>
        <v>0</v>
      </c>
      <c r="J1147" s="349"/>
      <c r="K1147" s="325"/>
      <c r="L1147" s="325">
        <f t="shared" si="69"/>
        <v>-101</v>
      </c>
      <c r="M1147" s="325"/>
      <c r="N1147" s="363"/>
      <c r="O1147" s="363"/>
      <c r="P1147" s="364"/>
    </row>
    <row r="1148" s="326" customFormat="1" ht="16.5" customHeight="1" spans="1:16">
      <c r="A1148" s="347" t="s">
        <v>1010</v>
      </c>
      <c r="B1148" s="348">
        <v>430</v>
      </c>
      <c r="C1148" s="348">
        <v>468</v>
      </c>
      <c r="D1148" s="349">
        <f>C1148/B1148*100</f>
        <v>108.837209302326</v>
      </c>
      <c r="E1148" s="348">
        <v>464</v>
      </c>
      <c r="F1148" s="345">
        <f>C1148-E1148</f>
        <v>4</v>
      </c>
      <c r="G1148" s="346">
        <f>F1148/E1148*100</f>
        <v>0.862068965517241</v>
      </c>
      <c r="H1148" s="348">
        <f>SUM(H1149:H1160)</f>
        <v>413.505914</v>
      </c>
      <c r="I1148" s="345">
        <f>H1148-B1148</f>
        <v>-16.494086</v>
      </c>
      <c r="J1148" s="349">
        <f>I1148/B1148*100</f>
        <v>-3.83583395348837</v>
      </c>
      <c r="K1148" s="325"/>
      <c r="L1148" s="325">
        <f t="shared" si="69"/>
        <v>1404.87527231435</v>
      </c>
      <c r="M1148" s="325"/>
      <c r="N1148" s="363"/>
      <c r="O1148" s="363"/>
      <c r="P1148" s="364"/>
    </row>
    <row r="1149" ht="16.5" customHeight="1" spans="1:16">
      <c r="A1149" s="365" t="s">
        <v>155</v>
      </c>
      <c r="B1149" s="348"/>
      <c r="C1149" s="348"/>
      <c r="D1149" s="349"/>
      <c r="E1149" s="348"/>
      <c r="F1149" s="345"/>
      <c r="G1149" s="346"/>
      <c r="H1149" s="348">
        <f>332.185914-10</f>
        <v>322.185914</v>
      </c>
      <c r="I1149" s="345"/>
      <c r="J1149" s="349"/>
      <c r="K1149" s="325"/>
      <c r="L1149" s="325">
        <f t="shared" si="69"/>
        <v>322.185914</v>
      </c>
      <c r="M1149" s="325"/>
      <c r="N1149" s="363"/>
      <c r="O1149" s="363"/>
      <c r="P1149" s="364"/>
    </row>
    <row r="1150" ht="16.5" customHeight="1" spans="1:16">
      <c r="A1150" s="347" t="s">
        <v>156</v>
      </c>
      <c r="B1150" s="348"/>
      <c r="C1150" s="348">
        <v>0</v>
      </c>
      <c r="D1150" s="349"/>
      <c r="E1150" s="348"/>
      <c r="F1150" s="345"/>
      <c r="G1150" s="346"/>
      <c r="H1150" s="348">
        <v>39.32</v>
      </c>
      <c r="I1150" s="345"/>
      <c r="J1150" s="349"/>
      <c r="K1150" s="325"/>
      <c r="L1150" s="325">
        <f t="shared" si="69"/>
        <v>39.32</v>
      </c>
      <c r="M1150" s="325"/>
      <c r="N1150" s="363"/>
      <c r="O1150" s="363"/>
      <c r="P1150" s="364"/>
    </row>
    <row r="1151" ht="16.5" hidden="1" customHeight="1" spans="1:16">
      <c r="A1151" s="347" t="s">
        <v>157</v>
      </c>
      <c r="B1151" s="348"/>
      <c r="C1151" s="348">
        <v>0</v>
      </c>
      <c r="D1151" s="349"/>
      <c r="E1151" s="348"/>
      <c r="F1151" s="345"/>
      <c r="G1151" s="346"/>
      <c r="H1151" s="348">
        <v>0</v>
      </c>
      <c r="I1151" s="345"/>
      <c r="J1151" s="349"/>
      <c r="K1151" s="325"/>
      <c r="L1151" s="325">
        <f t="shared" si="69"/>
        <v>0</v>
      </c>
      <c r="M1151" s="325"/>
      <c r="N1151" s="363"/>
      <c r="O1151" s="363"/>
      <c r="P1151" s="364"/>
    </row>
    <row r="1152" ht="16.5" customHeight="1" spans="1:16">
      <c r="A1152" s="347" t="s">
        <v>1011</v>
      </c>
      <c r="B1152" s="348"/>
      <c r="C1152" s="348">
        <v>0</v>
      </c>
      <c r="D1152" s="349"/>
      <c r="E1152" s="348"/>
      <c r="F1152" s="345"/>
      <c r="G1152" s="346"/>
      <c r="H1152" s="348">
        <v>18.5</v>
      </c>
      <c r="I1152" s="345"/>
      <c r="J1152" s="349"/>
      <c r="K1152" s="325"/>
      <c r="L1152" s="325">
        <f t="shared" si="69"/>
        <v>18.5</v>
      </c>
      <c r="M1152" s="325"/>
      <c r="N1152" s="363"/>
      <c r="O1152" s="363"/>
      <c r="P1152" s="364"/>
    </row>
    <row r="1153" ht="16.5" customHeight="1" spans="1:16">
      <c r="A1153" s="347" t="s">
        <v>1012</v>
      </c>
      <c r="B1153" s="348"/>
      <c r="C1153" s="348">
        <v>0</v>
      </c>
      <c r="D1153" s="349"/>
      <c r="E1153" s="348"/>
      <c r="F1153" s="345"/>
      <c r="G1153" s="346"/>
      <c r="H1153" s="348">
        <v>10</v>
      </c>
      <c r="I1153" s="345"/>
      <c r="J1153" s="349"/>
      <c r="K1153" s="325"/>
      <c r="L1153" s="325">
        <f t="shared" si="69"/>
        <v>10</v>
      </c>
      <c r="M1153" s="325"/>
      <c r="N1153" s="363"/>
      <c r="O1153" s="363"/>
      <c r="P1153" s="364"/>
    </row>
    <row r="1154" ht="16.5" customHeight="1" spans="1:16">
      <c r="A1154" s="347" t="s">
        <v>1013</v>
      </c>
      <c r="B1154" s="348"/>
      <c r="C1154" s="348">
        <v>0</v>
      </c>
      <c r="D1154" s="349"/>
      <c r="E1154" s="348"/>
      <c r="F1154" s="345"/>
      <c r="G1154" s="346"/>
      <c r="H1154" s="348">
        <v>23.5</v>
      </c>
      <c r="I1154" s="345"/>
      <c r="J1154" s="349"/>
      <c r="K1154" s="325"/>
      <c r="L1154" s="325">
        <f t="shared" si="69"/>
        <v>23.5</v>
      </c>
      <c r="M1154" s="325"/>
      <c r="N1154" s="363"/>
      <c r="O1154" s="363"/>
      <c r="P1154" s="364"/>
    </row>
    <row r="1155" ht="16.5" hidden="1" customHeight="1" spans="1:16">
      <c r="A1155" s="347" t="s">
        <v>1014</v>
      </c>
      <c r="B1155" s="348"/>
      <c r="C1155" s="348">
        <v>0</v>
      </c>
      <c r="D1155" s="349"/>
      <c r="E1155" s="348"/>
      <c r="F1155" s="345"/>
      <c r="G1155" s="346"/>
      <c r="H1155" s="348">
        <v>0</v>
      </c>
      <c r="I1155" s="345"/>
      <c r="J1155" s="349"/>
      <c r="K1155" s="325"/>
      <c r="L1155" s="325">
        <f t="shared" si="69"/>
        <v>0</v>
      </c>
      <c r="M1155" s="325"/>
      <c r="N1155" s="363"/>
      <c r="O1155" s="363"/>
      <c r="P1155" s="364"/>
    </row>
    <row r="1156" ht="16.5" hidden="1" customHeight="1" spans="1:16">
      <c r="A1156" s="347" t="s">
        <v>1015</v>
      </c>
      <c r="B1156" s="348"/>
      <c r="C1156" s="348">
        <v>0</v>
      </c>
      <c r="D1156" s="349"/>
      <c r="E1156" s="348"/>
      <c r="F1156" s="345"/>
      <c r="G1156" s="346"/>
      <c r="H1156" s="348">
        <v>0</v>
      </c>
      <c r="I1156" s="345"/>
      <c r="J1156" s="349"/>
      <c r="K1156" s="325"/>
      <c r="L1156" s="325">
        <f t="shared" si="69"/>
        <v>0</v>
      </c>
      <c r="M1156" s="325"/>
      <c r="N1156" s="363"/>
      <c r="O1156" s="363"/>
      <c r="P1156" s="364"/>
    </row>
    <row r="1157" ht="16.5" hidden="1" customHeight="1" spans="1:16">
      <c r="A1157" s="347" t="s">
        <v>1016</v>
      </c>
      <c r="B1157" s="348"/>
      <c r="C1157" s="348">
        <v>0</v>
      </c>
      <c r="D1157" s="349"/>
      <c r="E1157" s="348"/>
      <c r="F1157" s="345"/>
      <c r="G1157" s="346"/>
      <c r="H1157" s="348">
        <v>0</v>
      </c>
      <c r="I1157" s="345"/>
      <c r="J1157" s="349"/>
      <c r="K1157" s="325"/>
      <c r="L1157" s="325">
        <f t="shared" si="69"/>
        <v>0</v>
      </c>
      <c r="M1157" s="325"/>
      <c r="N1157" s="363"/>
      <c r="O1157" s="363"/>
      <c r="P1157" s="364"/>
    </row>
    <row r="1158" ht="16.5" hidden="1" customHeight="1" spans="1:16">
      <c r="A1158" s="347" t="s">
        <v>1017</v>
      </c>
      <c r="B1158" s="348"/>
      <c r="C1158" s="348">
        <v>0</v>
      </c>
      <c r="D1158" s="349"/>
      <c r="E1158" s="348"/>
      <c r="F1158" s="345"/>
      <c r="G1158" s="346"/>
      <c r="H1158" s="348">
        <v>0</v>
      </c>
      <c r="I1158" s="345"/>
      <c r="J1158" s="349"/>
      <c r="K1158" s="325"/>
      <c r="L1158" s="325">
        <f t="shared" si="69"/>
        <v>0</v>
      </c>
      <c r="M1158" s="325"/>
      <c r="N1158" s="363"/>
      <c r="O1158" s="363"/>
      <c r="P1158" s="364"/>
    </row>
    <row r="1159" ht="16.5" hidden="1" customHeight="1" spans="1:16">
      <c r="A1159" s="347" t="s">
        <v>1018</v>
      </c>
      <c r="B1159" s="348"/>
      <c r="C1159" s="348">
        <v>0</v>
      </c>
      <c r="D1159" s="349"/>
      <c r="E1159" s="348"/>
      <c r="F1159" s="345"/>
      <c r="G1159" s="346"/>
      <c r="H1159" s="348">
        <v>0</v>
      </c>
      <c r="I1159" s="345"/>
      <c r="J1159" s="349"/>
      <c r="K1159" s="325"/>
      <c r="L1159" s="325">
        <f t="shared" si="69"/>
        <v>0</v>
      </c>
      <c r="M1159" s="325"/>
      <c r="N1159" s="363"/>
      <c r="O1159" s="363"/>
      <c r="P1159" s="364"/>
    </row>
    <row r="1160" ht="16.5" hidden="1" customHeight="1" spans="1:16">
      <c r="A1160" s="347" t="s">
        <v>1019</v>
      </c>
      <c r="B1160" s="348"/>
      <c r="C1160" s="348">
        <v>0</v>
      </c>
      <c r="D1160" s="349"/>
      <c r="E1160" s="348"/>
      <c r="F1160" s="345"/>
      <c r="G1160" s="346"/>
      <c r="H1160" s="348">
        <v>0</v>
      </c>
      <c r="I1160" s="345"/>
      <c r="J1160" s="349"/>
      <c r="K1160" s="325"/>
      <c r="L1160" s="325">
        <f t="shared" ref="L1160:L1191" si="70">B1160+C1160+D1160+F1160+G1160+H1160+I1160+J1160</f>
        <v>0</v>
      </c>
      <c r="M1160" s="325"/>
      <c r="N1160" s="363"/>
      <c r="O1160" s="363"/>
      <c r="P1160" s="364"/>
    </row>
    <row r="1161" s="326" customFormat="1" ht="16.5" customHeight="1" spans="1:16">
      <c r="A1161" s="347" t="s">
        <v>1020</v>
      </c>
      <c r="B1161" s="348">
        <v>2524</v>
      </c>
      <c r="C1161" s="348">
        <v>1843</v>
      </c>
      <c r="D1161" s="349">
        <f>C1161/B1161*100</f>
        <v>73.0190174326466</v>
      </c>
      <c r="E1161" s="348">
        <v>16222</v>
      </c>
      <c r="F1161" s="345">
        <f>C1161-E1161</f>
        <v>-14379</v>
      </c>
      <c r="G1161" s="346">
        <f>F1161/E1161*100</f>
        <v>-88.6388854641844</v>
      </c>
      <c r="H1161" s="348">
        <f>SUM(H1162:H1164)</f>
        <v>2552</v>
      </c>
      <c r="I1161" s="345">
        <f>H1161-B1161</f>
        <v>28</v>
      </c>
      <c r="J1161" s="349">
        <f>I1161/B1161*100</f>
        <v>1.10935023771791</v>
      </c>
      <c r="K1161" s="325"/>
      <c r="L1161" s="325">
        <f t="shared" si="70"/>
        <v>-7446.51051779382</v>
      </c>
      <c r="M1161" s="325"/>
      <c r="N1161" s="363"/>
      <c r="O1161" s="363"/>
      <c r="P1161" s="364"/>
    </row>
    <row r="1162" ht="16.5" customHeight="1" spans="1:16">
      <c r="A1162" s="347" t="s">
        <v>1021</v>
      </c>
      <c r="B1162" s="348"/>
      <c r="C1162" s="348"/>
      <c r="D1162" s="349"/>
      <c r="E1162" s="348"/>
      <c r="F1162" s="345"/>
      <c r="G1162" s="346"/>
      <c r="H1162" s="348">
        <v>1045</v>
      </c>
      <c r="I1162" s="345"/>
      <c r="J1162" s="349"/>
      <c r="K1162" s="325"/>
      <c r="L1162" s="325">
        <f t="shared" si="70"/>
        <v>1045</v>
      </c>
      <c r="M1162" s="325"/>
      <c r="N1162" s="363"/>
      <c r="O1162" s="363"/>
      <c r="P1162" s="364"/>
    </row>
    <row r="1163" ht="16.5" customHeight="1" spans="1:16">
      <c r="A1163" s="347" t="s">
        <v>1022</v>
      </c>
      <c r="B1163" s="348"/>
      <c r="C1163" s="348"/>
      <c r="D1163" s="349"/>
      <c r="E1163" s="348"/>
      <c r="F1163" s="345"/>
      <c r="G1163" s="346"/>
      <c r="H1163" s="348">
        <v>112</v>
      </c>
      <c r="I1163" s="345"/>
      <c r="J1163" s="349"/>
      <c r="K1163" s="325"/>
      <c r="L1163" s="325">
        <f t="shared" si="70"/>
        <v>112</v>
      </c>
      <c r="M1163" s="325"/>
      <c r="N1163" s="363"/>
      <c r="O1163" s="363"/>
      <c r="P1163" s="364"/>
    </row>
    <row r="1164" ht="16.5" customHeight="1" spans="1:16">
      <c r="A1164" s="347" t="s">
        <v>1023</v>
      </c>
      <c r="B1164" s="348"/>
      <c r="C1164" s="348"/>
      <c r="D1164" s="349"/>
      <c r="E1164" s="348"/>
      <c r="F1164" s="345"/>
      <c r="G1164" s="346"/>
      <c r="H1164" s="348">
        <f>695+700</f>
        <v>1395</v>
      </c>
      <c r="I1164" s="345"/>
      <c r="J1164" s="349"/>
      <c r="K1164" s="325"/>
      <c r="L1164" s="325">
        <f t="shared" si="70"/>
        <v>1395</v>
      </c>
      <c r="M1164" s="325"/>
      <c r="N1164" s="363"/>
      <c r="O1164" s="363"/>
      <c r="P1164" s="364"/>
    </row>
    <row r="1165" s="326" customFormat="1" ht="16.5" customHeight="1" spans="1:16">
      <c r="A1165" s="347" t="s">
        <v>1024</v>
      </c>
      <c r="B1165" s="348">
        <v>208</v>
      </c>
      <c r="C1165" s="348">
        <v>1494</v>
      </c>
      <c r="D1165" s="349">
        <f>C1165/B1165*100</f>
        <v>718.269230769231</v>
      </c>
      <c r="E1165" s="348">
        <v>6174</v>
      </c>
      <c r="F1165" s="345">
        <f>C1165-E1165</f>
        <v>-4680</v>
      </c>
      <c r="G1165" s="346">
        <f>F1165/E1165*100</f>
        <v>-75.801749271137</v>
      </c>
      <c r="H1165" s="348">
        <f>SUM(H1166:H1168)</f>
        <v>191</v>
      </c>
      <c r="I1165" s="345">
        <f t="shared" ref="I1165:I1178" si="71">H1165-B1165</f>
        <v>-17</v>
      </c>
      <c r="J1165" s="349">
        <f>I1165/B1165*100</f>
        <v>-8.17307692307692</v>
      </c>
      <c r="K1165" s="325"/>
      <c r="L1165" s="325">
        <f t="shared" si="70"/>
        <v>-2169.70559542498</v>
      </c>
      <c r="M1165" s="325"/>
      <c r="N1165" s="363"/>
      <c r="O1165" s="363"/>
      <c r="P1165" s="364"/>
    </row>
    <row r="1166" ht="16.5" customHeight="1" spans="1:16">
      <c r="A1166" s="347" t="s">
        <v>1025</v>
      </c>
      <c r="B1166" s="348"/>
      <c r="C1166" s="348"/>
      <c r="D1166" s="349"/>
      <c r="E1166" s="348"/>
      <c r="F1166" s="345"/>
      <c r="G1166" s="346"/>
      <c r="H1166" s="348">
        <v>166</v>
      </c>
      <c r="I1166" s="345"/>
      <c r="J1166" s="349"/>
      <c r="K1166" s="325"/>
      <c r="L1166" s="325">
        <f t="shared" si="70"/>
        <v>166</v>
      </c>
      <c r="M1166" s="325"/>
      <c r="N1166" s="363"/>
      <c r="O1166" s="363"/>
      <c r="P1166" s="364"/>
    </row>
    <row r="1167" ht="16.5" customHeight="1" spans="1:16">
      <c r="A1167" s="347" t="s">
        <v>1026</v>
      </c>
      <c r="B1167" s="348"/>
      <c r="C1167" s="348">
        <v>0</v>
      </c>
      <c r="D1167" s="349"/>
      <c r="E1167" s="348"/>
      <c r="F1167" s="345"/>
      <c r="G1167" s="346"/>
      <c r="H1167" s="348">
        <v>16</v>
      </c>
      <c r="I1167" s="345"/>
      <c r="J1167" s="349"/>
      <c r="K1167" s="325"/>
      <c r="L1167" s="325">
        <f t="shared" si="70"/>
        <v>16</v>
      </c>
      <c r="M1167" s="325"/>
      <c r="N1167" s="363"/>
      <c r="O1167" s="363"/>
      <c r="P1167" s="364"/>
    </row>
    <row r="1168" ht="16.5" customHeight="1" spans="1:16">
      <c r="A1168" s="347" t="s">
        <v>1027</v>
      </c>
      <c r="B1168" s="348"/>
      <c r="C1168" s="348">
        <v>0</v>
      </c>
      <c r="D1168" s="349"/>
      <c r="E1168" s="348"/>
      <c r="F1168" s="345"/>
      <c r="G1168" s="346"/>
      <c r="H1168" s="348">
        <v>9</v>
      </c>
      <c r="I1168" s="345"/>
      <c r="J1168" s="349"/>
      <c r="K1168" s="325"/>
      <c r="L1168" s="325">
        <f t="shared" si="70"/>
        <v>9</v>
      </c>
      <c r="M1168" s="325"/>
      <c r="N1168" s="363"/>
      <c r="O1168" s="363"/>
      <c r="P1168" s="364"/>
    </row>
    <row r="1169" s="326" customFormat="1" ht="16.5" customHeight="1" spans="1:16">
      <c r="A1169" s="347" t="s">
        <v>1028</v>
      </c>
      <c r="B1169" s="348">
        <v>169</v>
      </c>
      <c r="C1169" s="348">
        <v>926</v>
      </c>
      <c r="D1169" s="349">
        <f>C1169/B1169*100</f>
        <v>547.92899408284</v>
      </c>
      <c r="E1169" s="348">
        <v>1584</v>
      </c>
      <c r="F1169" s="345">
        <f>C1169-E1169</f>
        <v>-658</v>
      </c>
      <c r="G1169" s="346">
        <f>F1169/E1169*100</f>
        <v>-41.540404040404</v>
      </c>
      <c r="H1169" s="348">
        <v>190</v>
      </c>
      <c r="I1169" s="345">
        <f t="shared" si="71"/>
        <v>21</v>
      </c>
      <c r="J1169" s="349">
        <f>I1169/B1169*100</f>
        <v>12.4260355029586</v>
      </c>
      <c r="K1169" s="325"/>
      <c r="L1169" s="325">
        <f t="shared" si="70"/>
        <v>1166.81462554539</v>
      </c>
      <c r="M1169" s="325"/>
      <c r="N1169" s="363"/>
      <c r="O1169" s="363"/>
      <c r="P1169" s="364"/>
    </row>
    <row r="1170" s="325" customFormat="1" ht="16.5" customHeight="1" spans="1:16">
      <c r="A1170" s="344" t="s">
        <v>1029</v>
      </c>
      <c r="B1170" s="345">
        <v>32615</v>
      </c>
      <c r="C1170" s="345"/>
      <c r="D1170" s="349">
        <f>C1170/B1170*100</f>
        <v>0</v>
      </c>
      <c r="E1170" s="345"/>
      <c r="F1170" s="345">
        <f>C1170-E1170</f>
        <v>0</v>
      </c>
      <c r="G1170" s="346"/>
      <c r="H1170" s="345">
        <f>28700+20000</f>
        <v>48700</v>
      </c>
      <c r="I1170" s="345">
        <f t="shared" si="71"/>
        <v>16085</v>
      </c>
      <c r="J1170" s="349">
        <f t="shared" ref="J1170:J1178" si="72">I1170/B1170*100</f>
        <v>49.3177985589453</v>
      </c>
      <c r="L1170" s="325">
        <f t="shared" si="70"/>
        <v>97449.3177985589</v>
      </c>
      <c r="N1170" s="362"/>
      <c r="O1170" s="362"/>
      <c r="P1170" s="364"/>
    </row>
    <row r="1171" s="325" customFormat="1" ht="16.5" customHeight="1" spans="1:16">
      <c r="A1171" s="344" t="s">
        <v>1030</v>
      </c>
      <c r="B1171" s="345">
        <f>B1172+B1173</f>
        <v>68492</v>
      </c>
      <c r="C1171" s="345">
        <f>C1172+C1173</f>
        <v>1789</v>
      </c>
      <c r="D1171" s="349">
        <f>C1171/B1171*100</f>
        <v>2.61198388132921</v>
      </c>
      <c r="E1171" s="345">
        <f>E1172+E1173</f>
        <v>1682</v>
      </c>
      <c r="F1171" s="345">
        <f>C1171-E1171</f>
        <v>107</v>
      </c>
      <c r="G1171" s="346">
        <f t="shared" ref="G1171:G1178" si="73">F1171/E1171*100</f>
        <v>6.36147443519619</v>
      </c>
      <c r="H1171" s="345">
        <f>SUM(H1172:H1173)</f>
        <v>71598.78</v>
      </c>
      <c r="I1171" s="345">
        <f t="shared" si="71"/>
        <v>3106.78</v>
      </c>
      <c r="J1171" s="349">
        <f t="shared" si="72"/>
        <v>4.53597500438007</v>
      </c>
      <c r="L1171" s="325">
        <f t="shared" si="70"/>
        <v>145107.069433321</v>
      </c>
      <c r="N1171" s="362"/>
      <c r="O1171" s="362"/>
      <c r="P1171" s="364"/>
    </row>
    <row r="1172" ht="16.5" customHeight="1" spans="1:16">
      <c r="A1172" s="347" t="s">
        <v>1031</v>
      </c>
      <c r="B1172" s="348">
        <v>68452</v>
      </c>
      <c r="C1172" s="348"/>
      <c r="D1172" s="349">
        <f>C1172/B1172*100</f>
        <v>0</v>
      </c>
      <c r="E1172" s="348"/>
      <c r="F1172" s="345"/>
      <c r="G1172" s="346"/>
      <c r="H1172" s="348">
        <f>71592.48+0.3-1000-15-8-11</f>
        <v>70558.78</v>
      </c>
      <c r="I1172" s="345">
        <f t="shared" si="71"/>
        <v>2106.78</v>
      </c>
      <c r="J1172" s="349">
        <f t="shared" si="72"/>
        <v>3.0777479109449</v>
      </c>
      <c r="K1172" s="325"/>
      <c r="L1172" s="325">
        <f t="shared" si="70"/>
        <v>141120.637747911</v>
      </c>
      <c r="M1172" s="325"/>
      <c r="N1172" s="363"/>
      <c r="O1172" s="363"/>
      <c r="P1172" s="364"/>
    </row>
    <row r="1173" ht="16.5" customHeight="1" spans="1:16">
      <c r="A1173" s="347" t="s">
        <v>1032</v>
      </c>
      <c r="B1173" s="348">
        <v>40</v>
      </c>
      <c r="C1173" s="348">
        <f>1309+480</f>
        <v>1789</v>
      </c>
      <c r="D1173" s="349"/>
      <c r="E1173" s="348">
        <v>1682</v>
      </c>
      <c r="F1173" s="345"/>
      <c r="G1173" s="346">
        <f t="shared" si="73"/>
        <v>0</v>
      </c>
      <c r="H1173" s="348">
        <f>40+1000</f>
        <v>1040</v>
      </c>
      <c r="I1173" s="345">
        <f t="shared" si="71"/>
        <v>1000</v>
      </c>
      <c r="J1173" s="349">
        <f t="shared" si="72"/>
        <v>2500</v>
      </c>
      <c r="K1173" s="325"/>
      <c r="L1173" s="325">
        <f t="shared" si="70"/>
        <v>6369</v>
      </c>
      <c r="M1173" s="325"/>
      <c r="N1173" s="363"/>
      <c r="O1173" s="363"/>
      <c r="P1173" s="364"/>
    </row>
    <row r="1174" s="325" customFormat="1" ht="16.5" customHeight="1" spans="1:16">
      <c r="A1174" s="376" t="s">
        <v>1033</v>
      </c>
      <c r="B1174" s="377">
        <f>B1175</f>
        <v>69687</v>
      </c>
      <c r="C1174" s="377">
        <f>C1175</f>
        <v>70971</v>
      </c>
      <c r="D1174" s="349">
        <f>C1174/B1174*100</f>
        <v>101.842524430669</v>
      </c>
      <c r="E1174" s="377">
        <f>E1175</f>
        <v>76467</v>
      </c>
      <c r="F1174" s="345">
        <f t="shared" ref="F1174:F1178" si="74">C1174-E1174</f>
        <v>-5496</v>
      </c>
      <c r="G1174" s="346">
        <f t="shared" si="73"/>
        <v>-7.18741417866531</v>
      </c>
      <c r="H1174" s="377">
        <f>H1175</f>
        <v>65500</v>
      </c>
      <c r="I1174" s="345">
        <f t="shared" si="71"/>
        <v>-4187</v>
      </c>
      <c r="J1174" s="349">
        <f t="shared" si="72"/>
        <v>-6.00829422991376</v>
      </c>
      <c r="L1174" s="325">
        <f t="shared" si="70"/>
        <v>196563.646816022</v>
      </c>
      <c r="N1174" s="388"/>
      <c r="O1174" s="388"/>
      <c r="P1174" s="364"/>
    </row>
    <row r="1175" ht="16.5" customHeight="1" spans="1:16">
      <c r="A1175" s="378" t="s">
        <v>1034</v>
      </c>
      <c r="B1175" s="379">
        <v>69687</v>
      </c>
      <c r="C1175" s="348">
        <v>70971</v>
      </c>
      <c r="D1175" s="349">
        <f>C1175/B1175*100</f>
        <v>101.842524430669</v>
      </c>
      <c r="E1175" s="385">
        <v>76467</v>
      </c>
      <c r="F1175" s="345">
        <f t="shared" si="74"/>
        <v>-5496</v>
      </c>
      <c r="G1175" s="346">
        <f t="shared" si="73"/>
        <v>-7.18741417866531</v>
      </c>
      <c r="H1175" s="348">
        <v>65500</v>
      </c>
      <c r="I1175" s="345">
        <f t="shared" si="71"/>
        <v>-4187</v>
      </c>
      <c r="J1175" s="349">
        <f t="shared" si="72"/>
        <v>-6.00829422991376</v>
      </c>
      <c r="K1175" s="325"/>
      <c r="L1175" s="325">
        <f t="shared" si="70"/>
        <v>196563.646816022</v>
      </c>
      <c r="M1175" s="325"/>
      <c r="N1175" s="363"/>
      <c r="O1175" s="363"/>
      <c r="P1175" s="364"/>
    </row>
    <row r="1176" ht="16.5" customHeight="1" spans="1:16">
      <c r="A1176" s="376" t="s">
        <v>1035</v>
      </c>
      <c r="B1176" s="345">
        <f>B1177</f>
        <v>506</v>
      </c>
      <c r="C1176" s="345">
        <f>C1177</f>
        <v>206</v>
      </c>
      <c r="D1176" s="349">
        <f>C1176/B1176*100</f>
        <v>40.7114624505929</v>
      </c>
      <c r="E1176" s="345">
        <f>E1177</f>
        <v>328</v>
      </c>
      <c r="F1176" s="345">
        <f t="shared" si="74"/>
        <v>-122</v>
      </c>
      <c r="G1176" s="346">
        <f t="shared" si="73"/>
        <v>-37.1951219512195</v>
      </c>
      <c r="H1176" s="345">
        <f>H1177</f>
        <v>100.4</v>
      </c>
      <c r="I1176" s="345">
        <f t="shared" si="71"/>
        <v>-405.6</v>
      </c>
      <c r="J1176" s="349">
        <f t="shared" si="72"/>
        <v>-80.1581027667984</v>
      </c>
      <c r="K1176" s="325"/>
      <c r="L1176" s="325">
        <f t="shared" si="70"/>
        <v>208.158237732575</v>
      </c>
      <c r="M1176" s="325"/>
      <c r="N1176" s="362"/>
      <c r="O1176" s="362"/>
      <c r="P1176" s="364"/>
    </row>
    <row r="1177" ht="16.5" customHeight="1" spans="1:16">
      <c r="A1177" s="378" t="s">
        <v>1036</v>
      </c>
      <c r="B1177" s="379">
        <v>506</v>
      </c>
      <c r="C1177" s="348">
        <v>206</v>
      </c>
      <c r="D1177" s="349">
        <f>C1177/B1177*100</f>
        <v>40.7114624505929</v>
      </c>
      <c r="E1177" s="385">
        <v>328</v>
      </c>
      <c r="F1177" s="345">
        <f t="shared" si="74"/>
        <v>-122</v>
      </c>
      <c r="G1177" s="346">
        <f t="shared" si="73"/>
        <v>-37.1951219512195</v>
      </c>
      <c r="H1177" s="348">
        <v>100.4</v>
      </c>
      <c r="I1177" s="345">
        <f t="shared" si="71"/>
        <v>-405.6</v>
      </c>
      <c r="J1177" s="349">
        <f t="shared" si="72"/>
        <v>-80.1581027667984</v>
      </c>
      <c r="K1177" s="325"/>
      <c r="L1177" s="325">
        <f t="shared" si="70"/>
        <v>208.158237732575</v>
      </c>
      <c r="M1177" s="325"/>
      <c r="N1177" s="363"/>
      <c r="O1177" s="363"/>
      <c r="P1177" s="364"/>
    </row>
    <row r="1178" ht="16.5" customHeight="1" spans="1:16">
      <c r="A1178" s="380" t="s">
        <v>1037</v>
      </c>
      <c r="B1178" s="345">
        <f>B1176+B1174+B1171+B1170+B1129+B1084+B1066+B1037+B1013+B993+B930+B878+B779+B760+B698+B615+B488+B432+B376+B328+B240+B224+B7</f>
        <v>4368367</v>
      </c>
      <c r="C1178" s="345">
        <f>C1176+C1174+C1171+C1170+C1129+C1084+C1066+C1037+C1013+C993+C930+C878+C779+C760+C698+C615+C488+C432+C376+C328+C240+C224+C7</f>
        <v>4544409</v>
      </c>
      <c r="D1178" s="349">
        <f>C1178/B1178*100</f>
        <v>104.029926972711</v>
      </c>
      <c r="E1178" s="345">
        <f>E1176+E1174+E1171+E1170+E1129+E1084+E1066+E1037+E1013+E993+E930+E878+E779+E760+E698+E615+E488+E432+E376+E328+E240+E224+E7</f>
        <v>4396394</v>
      </c>
      <c r="F1178" s="345">
        <f t="shared" si="74"/>
        <v>148015</v>
      </c>
      <c r="G1178" s="346">
        <f t="shared" si="73"/>
        <v>3.36673646629488</v>
      </c>
      <c r="H1178" s="345">
        <f t="shared" ref="H1178" si="75">H1176+H1174+H1171+H1170+H1129+H1084+H1066+H1037+H1013+H993+H930+H878+H779+H760+H698+H615+H488+H432+H376+H328+H240+H224+H7</f>
        <v>4499363.082817</v>
      </c>
      <c r="I1178" s="345">
        <f t="shared" si="71"/>
        <v>130996.082816999</v>
      </c>
      <c r="J1178" s="349">
        <f t="shared" si="72"/>
        <v>2.99874261519235</v>
      </c>
      <c r="K1178" s="397"/>
      <c r="L1178" s="325">
        <f t="shared" si="70"/>
        <v>13691260.5610401</v>
      </c>
      <c r="M1178" s="325"/>
      <c r="N1178" s="362"/>
      <c r="O1178" s="362"/>
      <c r="P1178" s="364"/>
    </row>
    <row r="1179" ht="16.5" customHeight="1" spans="1:16">
      <c r="A1179" s="376" t="s">
        <v>1038</v>
      </c>
      <c r="B1179" s="345">
        <f>B1180+B1181+B1182+B1183+B1184+B1187+B1188+B1189</f>
        <v>17552</v>
      </c>
      <c r="C1179" s="345">
        <f>C1180+C1181+C1182+C1183+C1184+C1187+C1188+C1189</f>
        <v>340266</v>
      </c>
      <c r="D1179" s="345"/>
      <c r="E1179" s="345"/>
      <c r="F1179" s="345"/>
      <c r="G1179" s="345"/>
      <c r="H1179" s="345">
        <f>H1180+H1181+H1182+H1183+H1184+H1187+H1188+H1189</f>
        <v>54032</v>
      </c>
      <c r="I1179" s="345"/>
      <c r="J1179" s="345"/>
      <c r="L1179" s="325">
        <f t="shared" si="70"/>
        <v>411850</v>
      </c>
      <c r="M1179" s="325"/>
      <c r="N1179" s="362"/>
      <c r="O1179" s="362"/>
      <c r="P1179" s="390"/>
    </row>
    <row r="1180" ht="16.5" hidden="1" customHeight="1" spans="1:16">
      <c r="A1180" s="378" t="s">
        <v>1039</v>
      </c>
      <c r="B1180" s="345"/>
      <c r="C1180" s="345"/>
      <c r="D1180" s="345"/>
      <c r="E1180" s="345"/>
      <c r="F1180" s="345"/>
      <c r="G1180" s="345"/>
      <c r="H1180" s="345"/>
      <c r="I1180" s="345"/>
      <c r="J1180" s="345"/>
      <c r="L1180" s="325">
        <f t="shared" si="70"/>
        <v>0</v>
      </c>
      <c r="M1180" s="325"/>
      <c r="N1180" s="362"/>
      <c r="O1180" s="362"/>
      <c r="P1180" s="390"/>
    </row>
    <row r="1181" ht="16.5" hidden="1" customHeight="1" spans="1:16">
      <c r="A1181" s="378" t="s">
        <v>1040</v>
      </c>
      <c r="B1181" s="345"/>
      <c r="C1181" s="345"/>
      <c r="D1181" s="345"/>
      <c r="E1181" s="345"/>
      <c r="F1181" s="345"/>
      <c r="G1181" s="345"/>
      <c r="H1181" s="345"/>
      <c r="I1181" s="345"/>
      <c r="J1181" s="345"/>
      <c r="L1181" s="325">
        <f t="shared" si="70"/>
        <v>0</v>
      </c>
      <c r="M1181" s="325"/>
      <c r="N1181" s="362"/>
      <c r="O1181" s="362"/>
      <c r="P1181" s="390"/>
    </row>
    <row r="1182" ht="16.5" hidden="1" customHeight="1" spans="1:16">
      <c r="A1182" s="378" t="s">
        <v>1041</v>
      </c>
      <c r="B1182" s="345"/>
      <c r="C1182" s="345"/>
      <c r="D1182" s="345"/>
      <c r="E1182" s="345"/>
      <c r="F1182" s="345"/>
      <c r="G1182" s="345"/>
      <c r="H1182" s="345"/>
      <c r="I1182" s="345"/>
      <c r="J1182" s="345"/>
      <c r="L1182" s="325">
        <f t="shared" si="70"/>
        <v>0</v>
      </c>
      <c r="M1182" s="325"/>
      <c r="N1182" s="362"/>
      <c r="O1182" s="362"/>
      <c r="P1182" s="390"/>
    </row>
    <row r="1183" ht="16.5" hidden="1" customHeight="1" spans="1:16">
      <c r="A1183" s="378" t="s">
        <v>1042</v>
      </c>
      <c r="B1183" s="345"/>
      <c r="C1183" s="345"/>
      <c r="D1183" s="345"/>
      <c r="E1183" s="345"/>
      <c r="F1183" s="345"/>
      <c r="G1183" s="345"/>
      <c r="H1183" s="345"/>
      <c r="I1183" s="345"/>
      <c r="J1183" s="345"/>
      <c r="L1183" s="325">
        <f t="shared" si="70"/>
        <v>0</v>
      </c>
      <c r="M1183" s="325"/>
      <c r="N1183" s="362"/>
      <c r="O1183" s="362"/>
      <c r="P1183" s="390"/>
    </row>
    <row r="1184" ht="16.5" customHeight="1" spans="1:16">
      <c r="A1184" s="381" t="s">
        <v>1043</v>
      </c>
      <c r="B1184" s="348">
        <f>B1185+B1186</f>
        <v>17552</v>
      </c>
      <c r="C1184" s="348">
        <f>C1185+C1186</f>
        <v>53092</v>
      </c>
      <c r="D1184" s="345"/>
      <c r="E1184" s="345"/>
      <c r="F1184" s="345"/>
      <c r="G1184" s="345"/>
      <c r="H1184" s="348">
        <f>H1185+H1186</f>
        <v>54032</v>
      </c>
      <c r="I1184" s="345"/>
      <c r="J1184" s="345"/>
      <c r="L1184" s="325">
        <f t="shared" si="70"/>
        <v>124676</v>
      </c>
      <c r="M1184" s="325"/>
      <c r="N1184" s="363"/>
      <c r="O1184" s="363"/>
      <c r="P1184" s="390"/>
    </row>
    <row r="1185" ht="16.5" customHeight="1" spans="1:16">
      <c r="A1185" s="381" t="s">
        <v>1044</v>
      </c>
      <c r="B1185" s="348">
        <v>8152</v>
      </c>
      <c r="C1185" s="348">
        <v>14117</v>
      </c>
      <c r="D1185" s="345"/>
      <c r="E1185" s="345"/>
      <c r="F1185" s="345"/>
      <c r="G1185" s="345"/>
      <c r="H1185" s="348">
        <v>14117</v>
      </c>
      <c r="I1185" s="345"/>
      <c r="J1185" s="345"/>
      <c r="L1185" s="325">
        <f t="shared" si="70"/>
        <v>36386</v>
      </c>
      <c r="M1185" s="325"/>
      <c r="N1185" s="363"/>
      <c r="O1185" s="363"/>
      <c r="P1185" s="390"/>
    </row>
    <row r="1186" ht="16.5" customHeight="1" spans="1:16">
      <c r="A1186" s="378" t="s">
        <v>1045</v>
      </c>
      <c r="B1186" s="348">
        <v>9400</v>
      </c>
      <c r="C1186" s="348">
        <f>55796-15487-1334</f>
        <v>38975</v>
      </c>
      <c r="D1186" s="345"/>
      <c r="E1186" s="345"/>
      <c r="F1186" s="345"/>
      <c r="G1186" s="345"/>
      <c r="H1186" s="348">
        <v>39915</v>
      </c>
      <c r="I1186" s="345"/>
      <c r="J1186" s="345"/>
      <c r="L1186" s="325">
        <f t="shared" si="70"/>
        <v>88290</v>
      </c>
      <c r="M1186" s="325"/>
      <c r="N1186" s="363"/>
      <c r="O1186" s="363"/>
      <c r="P1186" s="390"/>
    </row>
    <row r="1187" ht="16.5" hidden="1" customHeight="1" spans="1:16">
      <c r="A1187" s="382" t="s">
        <v>1046</v>
      </c>
      <c r="B1187" s="348"/>
      <c r="C1187" s="348"/>
      <c r="D1187" s="345"/>
      <c r="E1187" s="345"/>
      <c r="F1187" s="345"/>
      <c r="G1187" s="345"/>
      <c r="H1187" s="348"/>
      <c r="I1187" s="345"/>
      <c r="J1187" s="345"/>
      <c r="L1187" s="325">
        <f t="shared" si="70"/>
        <v>0</v>
      </c>
      <c r="M1187" s="325"/>
      <c r="N1187" s="363"/>
      <c r="O1187" s="363"/>
      <c r="P1187" s="390"/>
    </row>
    <row r="1188" s="325" customFormat="1" ht="16.5" customHeight="1" spans="1:16">
      <c r="A1188" s="378" t="s">
        <v>1047</v>
      </c>
      <c r="B1188" s="348"/>
      <c r="C1188" s="348">
        <f>16000+70000</f>
        <v>86000</v>
      </c>
      <c r="D1188" s="345"/>
      <c r="E1188" s="345"/>
      <c r="F1188" s="345"/>
      <c r="G1188" s="345"/>
      <c r="H1188" s="386"/>
      <c r="I1188" s="345"/>
      <c r="J1188" s="345"/>
      <c r="L1188" s="325">
        <f t="shared" si="70"/>
        <v>86000</v>
      </c>
      <c r="N1188" s="389"/>
      <c r="O1188" s="389"/>
      <c r="P1188" s="390"/>
    </row>
    <row r="1189" ht="16.5" customHeight="1" spans="1:16">
      <c r="A1189" s="382" t="s">
        <v>1048</v>
      </c>
      <c r="B1189" s="348"/>
      <c r="C1189" s="348">
        <f>175232+22804+3138</f>
        <v>201174</v>
      </c>
      <c r="D1189" s="345"/>
      <c r="E1189" s="345"/>
      <c r="F1189" s="345"/>
      <c r="G1189" s="345"/>
      <c r="H1189" s="386"/>
      <c r="I1189" s="345"/>
      <c r="J1189" s="345"/>
      <c r="L1189" s="325">
        <f t="shared" si="70"/>
        <v>201174</v>
      </c>
      <c r="M1189" s="325"/>
      <c r="N1189" s="389"/>
      <c r="O1189" s="389"/>
      <c r="P1189" s="390"/>
    </row>
    <row r="1190" ht="16.5" customHeight="1" spans="1:16">
      <c r="A1190" s="376" t="s">
        <v>1049</v>
      </c>
      <c r="B1190" s="345">
        <v>242153</v>
      </c>
      <c r="C1190" s="345">
        <v>293845</v>
      </c>
      <c r="D1190" s="345"/>
      <c r="E1190" s="345"/>
      <c r="F1190" s="345"/>
      <c r="G1190" s="345"/>
      <c r="H1190" s="345">
        <v>145285</v>
      </c>
      <c r="I1190" s="345"/>
      <c r="J1190" s="345"/>
      <c r="L1190" s="325">
        <f t="shared" si="70"/>
        <v>681283</v>
      </c>
      <c r="M1190" s="325"/>
      <c r="N1190" s="362"/>
      <c r="O1190" s="362"/>
      <c r="P1190" s="390"/>
    </row>
    <row r="1191" ht="16.5" customHeight="1" spans="1:16">
      <c r="A1191" s="340" t="s">
        <v>1050</v>
      </c>
      <c r="B1191" s="345">
        <f>B1178+B1179+B1190</f>
        <v>4628072</v>
      </c>
      <c r="C1191" s="345">
        <f>C1178+C1179+C1190</f>
        <v>5178520</v>
      </c>
      <c r="D1191" s="345"/>
      <c r="E1191" s="345"/>
      <c r="F1191" s="345"/>
      <c r="G1191" s="345"/>
      <c r="H1191" s="345">
        <f>H1178+H1179+H1190</f>
        <v>4698680.082817</v>
      </c>
      <c r="I1191" s="345"/>
      <c r="J1191" s="345"/>
      <c r="L1191" s="325">
        <f t="shared" si="70"/>
        <v>14505272.082817</v>
      </c>
      <c r="M1191" s="325"/>
      <c r="N1191" s="362"/>
      <c r="O1191" s="362"/>
      <c r="P1191" s="390"/>
    </row>
    <row r="1192" hidden="1" spans="3:15">
      <c r="C1192" s="383">
        <f>'一般公共预算收入表（全市）'!C108-'一般公共预算支出表（全市）'!C1191</f>
        <v>0.357699999585748</v>
      </c>
      <c r="H1192" s="387">
        <f>'一般公共预算收入表（全市）'!H108-'一般公共预算支出表（全市）'!H1191</f>
        <v>-0.35281699988991</v>
      </c>
      <c r="N1192" s="387"/>
      <c r="O1192" s="387"/>
    </row>
    <row r="1193" hidden="1" spans="2:9">
      <c r="B1193" s="350"/>
      <c r="C1193" s="350"/>
      <c r="D1193" s="350"/>
      <c r="E1193" s="350"/>
      <c r="F1193" s="350"/>
      <c r="G1193" s="350"/>
      <c r="H1193" s="350"/>
      <c r="I1193" s="398">
        <f>I1191-[1]全市一般收入!J111</f>
        <v>0</v>
      </c>
    </row>
    <row r="1194" hidden="1" spans="2:15">
      <c r="B1194" s="384"/>
      <c r="C1194" s="384"/>
      <c r="D1194" s="384">
        <f>D1191-[1]全市一般收入!E111</f>
        <v>0</v>
      </c>
      <c r="E1194" s="384">
        <f>E1191-[1]全市一般收入!F111</f>
        <v>0</v>
      </c>
      <c r="F1194" s="384">
        <f>F1191-[1]全市一般收入!G111</f>
        <v>0</v>
      </c>
      <c r="G1194" s="384">
        <f>G1191-[1]全市一般收入!H111</f>
        <v>0</v>
      </c>
      <c r="H1194" s="384"/>
      <c r="N1194" s="387"/>
      <c r="O1194" s="387"/>
    </row>
    <row r="1197" spans="3:3">
      <c r="C1197" s="383"/>
    </row>
  </sheetData>
  <autoFilter ref="A6:XFD1194">
    <filterColumn colId="11">
      <filters>
        <filter val="3252.672122"/>
        <filter val="-42.19791212"/>
        <filter val="985.045853"/>
        <filter val="4879.769794"/>
        <filter val="12387.73385"/>
        <filter val="30988.00585"/>
        <filter val="321836.4187"/>
        <filter val="1431.123318"/>
        <filter val="16869.34868"/>
        <filter val="118796.2879"/>
        <filter val="11.1"/>
        <filter val="83535.2362"/>
        <filter val="2714.412"/>
        <filter val="7919.4"/>
        <filter val="584.0864"/>
        <filter val="51.5"/>
        <filter val="505.5"/>
        <filter val="255.6"/>
        <filter val="1545.152066"/>
        <filter val="542.877816"/>
        <filter val="2109.6"/>
        <filter val="165.7"/>
        <filter val="67618.41627"/>
        <filter val="8725.8"/>
        <filter val="1162.42958"/>
        <filter val="69.9"/>
        <filter val="1129.9"/>
        <filter val="123807.9379"/>
        <filter val="134595.2469"/>
        <filter val="131166.2533"/>
        <filter val="543586.2773"/>
        <filter val="3991.037934"/>
        <filter val="1173.64954"/>
        <filter val="3733.99717"/>
        <filter val="288.080068"/>
        <filter val="5911.407938"/>
        <filter val="55065.87488"/>
        <filter val="-113.044919"/>
        <filter val="396.202189"/>
        <filter val="10124.38149"/>
        <filter val="100"/>
        <filter val="500"/>
        <filter val="1500"/>
        <filter val="7500"/>
        <filter val="101"/>
        <filter val="501"/>
        <filter val="-101"/>
        <filter val="8705.857881"/>
        <filter val="9614.02241"/>
        <filter val="2"/>
        <filter val="46502"/>
        <filter val="418.6412"/>
        <filter val="3"/>
        <filter val="103"/>
        <filter val="4"/>
        <filter val="5"/>
        <filter val="105"/>
        <filter val="2536.6685"/>
        <filter val="6"/>
        <filter val="2627.183267"/>
        <filter val="8"/>
        <filter val="108"/>
        <filter val="9"/>
        <filter val="110"/>
        <filter val="112"/>
        <filter val="512"/>
        <filter val="195928.4152"/>
        <filter val="13792.19753"/>
        <filter val="115"/>
        <filter val="319.200955"/>
        <filter val="13691260.56"/>
        <filter val="3115.609198"/>
        <filter val="120"/>
        <filter val="6120"/>
        <filter val="122"/>
        <filter val="522"/>
        <filter val="5922"/>
        <filter val="226.410292"/>
        <filter val="1123"/>
        <filter val="29967.98593"/>
        <filter val="393.357504"/>
        <filter val="-149.2195914"/>
        <filter val="5126"/>
        <filter val="6993.798906"/>
        <filter val="2927"/>
        <filter val="321321.1507"/>
        <filter val="-449.0821918"/>
        <filter val="130"/>
        <filter val="17176.67993"/>
        <filter val="135"/>
        <filter val="11875.44096"/>
        <filter val="4137"/>
        <filter val="2309.92728"/>
        <filter val="13143"/>
        <filter val="7841.473804"/>
        <filter val="33285.46696"/>
        <filter val="10147"/>
        <filter val="148"/>
        <filter val="85185.40198"/>
        <filter val="150"/>
        <filter val="1151"/>
        <filter val="551.485592"/>
        <filter val="318.993904"/>
        <filter val="155"/>
        <filter val="1500.302085"/>
        <filter val="1289471.415"/>
        <filter val="157"/>
        <filter val="158"/>
        <filter val="160"/>
        <filter val="161"/>
        <filter val="15890.56022"/>
        <filter val="1032.633393"/>
        <filter val="498949.9823"/>
        <filter val="64807.20473"/>
        <filter val="320.068274"/>
        <filter val="165"/>
        <filter val="565"/>
        <filter val="166"/>
        <filter val="16729.37397"/>
        <filter val="168"/>
        <filter val="2019217.529"/>
        <filter val="5171"/>
        <filter val="857.4794381"/>
        <filter val="69573"/>
        <filter val="146.388004"/>
        <filter val="201174"/>
        <filter val="176"/>
        <filter val="1177"/>
        <filter val="580"/>
        <filter val="1580"/>
        <filter val="699.646142"/>
        <filter val="584"/>
        <filter val="4759.819145"/>
        <filter val="6755.747505"/>
        <filter val="186"/>
        <filter val="1187"/>
        <filter val="188"/>
        <filter val="-529.5465579"/>
        <filter val="1590"/>
        <filter val="13190"/>
        <filter val="8776.43731"/>
        <filter val="2217.716132"/>
        <filter val="3593"/>
        <filter val="194"/>
        <filter val="4994"/>
        <filter val="851.468154"/>
        <filter val="855.60014"/>
        <filter val="195"/>
        <filter val="512.203565"/>
        <filter val="196"/>
        <filter val="1166.814626"/>
        <filter val="71567.90926"/>
        <filter val="2997"/>
        <filter val="198"/>
        <filter val="4142.174468"/>
        <filter val="4.505088"/>
        <filter val="1365.931218"/>
        <filter val="183401.6788"/>
        <filter val="110497.8088"/>
        <filter val="3515.909122"/>
        <filter val="1357.917943"/>
        <filter val="79051.88824"/>
        <filter val="16468.68815"/>
        <filter val="2013.87067"/>
        <filter val="853.3804797"/>
        <filter val="581.839471"/>
        <filter val="73424.85482"/>
        <filter val="118390.3853"/>
        <filter val="47889.25424"/>
        <filter val="17642.66265"/>
        <filter val="11620.34687"/>
        <filter val="2175.17517"/>
        <filter val="1662.230671"/>
        <filter val="4179.559701"/>
        <filter val="2052.57042"/>
        <filter val="3351.038583"/>
        <filter val="1122.8583"/>
        <filter val="301784.0126"/>
        <filter val="1099403.507"/>
        <filter val="3180.403098"/>
        <filter val="281336.6969"/>
        <filter val="2297.013272"/>
        <filter val="4224.628543"/>
        <filter val="6496.147265"/>
        <filter val="-2169.705595"/>
        <filter val="87.675376"/>
        <filter val="28311.46017"/>
        <filter val="20307.78407"/>
        <filter val="598999.5397"/>
        <filter val="2593.404638"/>
        <filter val="3102.595728"/>
        <filter val="14505272.08"/>
        <filter val="70897.76798"/>
        <filter val="5145.417762"/>
        <filter val="176.3"/>
        <filter val="332.3"/>
        <filter val="622.3"/>
        <filter val="322.185914"/>
        <filter val="147764.1884"/>
        <filter val="344640.9355"/>
        <filter val="676.6"/>
        <filter val="5262.6"/>
        <filter val="9486.074758"/>
        <filter val="2371.260433"/>
        <filter val="-971.818035"/>
        <filter val="20432.5"/>
        <filter val="72350.16476"/>
        <filter val="14381.57467"/>
        <filter val="141186.6637"/>
        <filter val="4042.066348"/>
        <filter val="6127.159958"/>
        <filter val="68.564968"/>
        <filter val="1453.055219"/>
        <filter val="7645.681379"/>
        <filter val="14225.32949"/>
        <filter val="200"/>
        <filter val="600"/>
        <filter val="121159.6641"/>
        <filter val="1131242.842"/>
        <filter val="203"/>
        <filter val="204"/>
        <filter val="97818.3454"/>
        <filter val="623.05"/>
        <filter val="32278.5137"/>
        <filter val="208"/>
        <filter val="306.12"/>
        <filter val="528.12"/>
        <filter val="627.12"/>
        <filter val="40852.60794"/>
        <filter val="2826.44"/>
        <filter val="3615"/>
        <filter val="5806.45"/>
        <filter val="9801.45"/>
        <filter val="1295.572696"/>
        <filter val="1218"/>
        <filter val="12561.7998"/>
        <filter val="32087.8949"/>
        <filter val="220"/>
        <filter val="620"/>
        <filter val="221"/>
        <filter val="621"/>
        <filter val="6621"/>
        <filter val="1253.938201"/>
        <filter val="622"/>
        <filter val="392.24"/>
        <filter val="4765.34"/>
        <filter val="4225"/>
        <filter val="447.26"/>
        <filter val="441.9565217"/>
        <filter val="5633.38"/>
        <filter val="533.29"/>
        <filter val="1189.921371"/>
        <filter val="126.31"/>
        <filter val="5632"/>
        <filter val="39.32"/>
        <filter val="2368.22"/>
        <filter val="1782.922303"/>
        <filter val="360.769124"/>
        <filter val="1733.24"/>
        <filter val="235"/>
        <filter val="635"/>
        <filter val="472.843807"/>
        <filter val="238"/>
        <filter val="1228.29"/>
        <filter val="640"/>
        <filter val="24240"/>
        <filter val="241"/>
        <filter val="207.41"/>
        <filter val="439.41"/>
        <filter val="34688.51593"/>
        <filter val="244"/>
        <filter val="644"/>
        <filter val="122.214"/>
        <filter val="125083.7214"/>
        <filter val="529.46"/>
        <filter val="1169.16"/>
        <filter val="3188.474398"/>
        <filter val="3.49"/>
        <filter val="2250"/>
        <filter val="252"/>
        <filter val="77.52"/>
        <filter val="3840.82"/>
        <filter val="2594794.12"/>
        <filter val="253"/>
        <filter val="225.54"/>
        <filter val="145107.0694"/>
        <filter val="23409.01784"/>
        <filter val="401.56"/>
        <filter val="2257"/>
        <filter val="258"/>
        <filter val="19501.91688"/>
        <filter val="555.688"/>
        <filter val="660"/>
        <filter val="877.0890052"/>
        <filter val="18104.90276"/>
        <filter val="549.223728"/>
        <filter val="669"/>
        <filter val="270"/>
        <filter val="1.272"/>
        <filter val="7273"/>
        <filter val="4779.225033"/>
        <filter val="1170.575465"/>
        <filter val="804.75"/>
        <filter val="3079.65"/>
        <filter val="16276"/>
        <filter val="2130.809066"/>
        <filter val="124676"/>
        <filter val="881.76"/>
        <filter val="2.77"/>
        <filter val="1678"/>
        <filter val="1186.69"/>
        <filter val="280"/>
        <filter val="7680"/>
        <filter val="10681"/>
        <filter val="6019.935641"/>
        <filter val="358503.8302"/>
        <filter val="3683"/>
        <filter val="681283"/>
        <filter val="44794.07043"/>
        <filter val="8975.964804"/>
        <filter val="508.9377374"/>
        <filter val="12017.8155"/>
        <filter val="-1645.764706"/>
        <filter val="208.1582377"/>
        <filter val="56944.59297"/>
        <filter val="3320.949158"/>
        <filter val="407.6850078"/>
        <filter val="1689"/>
        <filter val="698.61149"/>
        <filter val="1690"/>
        <filter val="3290"/>
        <filter val="88290"/>
        <filter val="4271.032451"/>
        <filter val="35812.74351"/>
        <filter val="664.91521"/>
        <filter val="6146.7552"/>
        <filter val="294"/>
        <filter val="4443.681774"/>
        <filter val="298.95"/>
        <filter val="881.96"/>
        <filter val="3297"/>
        <filter val="760.97"/>
        <filter val="10172.07637"/>
        <filter val="15226.10167"/>
        <filter val="5656.440211"/>
        <filter val="1631.641461"/>
        <filter val="50358.36023"/>
        <filter val="148384.6383"/>
        <filter val="8046.269714"/>
        <filter val="39883.87335"/>
        <filter val="1366.767"/>
        <filter val="3873.616889"/>
        <filter val="237.49952"/>
        <filter val="72348.20463"/>
        <filter val="1711.263274"/>
        <filter val="8757.014216"/>
        <filter val="833.775458"/>
        <filter val="776.876048"/>
        <filter val="24602.169"/>
        <filter val="58727.75089"/>
        <filter val="859.061602"/>
        <filter val="9073.643863"/>
        <filter val="221.013985"/>
        <filter val="2822.254175"/>
        <filter val="2518.645616"/>
        <filter val="12320.18478"/>
        <filter val="48406.68398"/>
        <filter val="935.245849"/>
        <filter val="5366.661539"/>
        <filter val="12327.0032"/>
        <filter val="37283.94484"/>
        <filter val="19819.95214"/>
        <filter val="463.569835"/>
        <filter val="4287.2225"/>
        <filter val="3339.149996"/>
        <filter val="304046.0606"/>
        <filter val="4917.957777"/>
        <filter val="1848.290288"/>
        <filter val="107.615678"/>
        <filter val="250709.7278"/>
        <filter val="263.2"/>
        <filter val="222.541812"/>
        <filter val="392.601712"/>
        <filter val="41635.24442"/>
        <filter val="1613.222"/>
        <filter val="335.207964"/>
        <filter val="23.5"/>
        <filter val="33.5"/>
        <filter val="61.025025"/>
        <filter val="3812.11626"/>
        <filter val="196563.6468"/>
        <filter val="571.10351"/>
        <filter val="6335.805975"/>
        <filter val="3375.897976"/>
        <filter val="673.7287"/>
        <filter val="2408.7828"/>
        <filter val="6824.9868"/>
        <filter val="17355.38"/>
        <filter val="300"/>
        <filter val="3700"/>
        <filter val="625.847481"/>
        <filter val="82705"/>
        <filter val="2306"/>
        <filter val="307"/>
        <filter val="709"/>
        <filter val="43309"/>
        <filter val="6311"/>
        <filter val="-3712"/>
        <filter val="313"/>
        <filter val="626.349"/>
        <filter val="320"/>
        <filter val="2322"/>
        <filter val="19.322"/>
        <filter val="632.8181818"/>
        <filter val="1697.7398"/>
        <filter val="71279.54891"/>
        <filter val="22509.47723"/>
        <filter val="334"/>
        <filter val="735"/>
        <filter val="7437.481197"/>
        <filter val="338"/>
        <filter val="71711.15508"/>
        <filter val="3789829.688"/>
        <filter val="489855.99"/>
        <filter val="350"/>
        <filter val="5351"/>
        <filter val="27123.7593"/>
        <filter val="2270.224185"/>
        <filter val="22706.79585"/>
        <filter val="357"/>
        <filter val="2758"/>
        <filter val="1360"/>
        <filter val="8762"/>
        <filter val="1363"/>
        <filter val="4363"/>
        <filter val="8369.000823"/>
        <filter val="172.520993"/>
        <filter val="10128.07793"/>
        <filter val="364"/>
        <filter val="6765"/>
        <filter val="5499.205325"/>
        <filter val="20766"/>
        <filter val="166366"/>
        <filter val="14897.15627"/>
        <filter val="1368"/>
        <filter val="4768"/>
        <filter val="0.768"/>
        <filter val="23792.14928"/>
        <filter val="6369"/>
        <filter val="-3943.400292"/>
        <filter val="373"/>
        <filter val="2376"/>
        <filter val="46304.6096"/>
        <filter val="377"/>
        <filter val="148.369"/>
        <filter val="382"/>
        <filter val="667.8952173"/>
        <filter val="36386"/>
        <filter val="787"/>
        <filter val="505.756608"/>
        <filter val="10423.9298"/>
        <filter val="256972.0848"/>
        <filter val="14792"/>
        <filter val="3286.672"/>
        <filter val="10794"/>
        <filter val="395"/>
        <filter val="1395"/>
        <filter val="396"/>
        <filter val="4878.738146"/>
        <filter val="4797"/>
        <filter val="1063411.477"/>
        <filter val="1508.658"/>
        <filter val="1404.875272"/>
        <filter val="1814.987372"/>
        <filter val="119483.0772"/>
        <filter val="1167.351444"/>
        <filter val="67527.62356"/>
        <filter val="97449.3178"/>
        <filter val="39466.57241"/>
        <filter val="45387.38525"/>
        <filter val="141120.6377"/>
        <filter val="1642.678688"/>
        <filter val="208.631629"/>
        <filter val="286.881249"/>
        <filter val="2202.1472"/>
        <filter val="2134.376553"/>
        <filter val="102097.8493"/>
        <filter val="2228.019814"/>
        <filter val="11499.44204"/>
        <filter val="2688.022216"/>
        <filter val="2376.216136"/>
        <filter val="389.550606"/>
        <filter val="14347.10157"/>
        <filter val="23529.42421"/>
        <filter val="100.495102"/>
        <filter val="340363.42"/>
        <filter val="19993.78092"/>
        <filter val="607.408173"/>
        <filter val="11870.18574"/>
        <filter val="-61055.49955"/>
        <filter val="3680.641107"/>
        <filter val="1219.915098"/>
        <filter val="1466.918"/>
        <filter val="179422.7449"/>
        <filter val="4.2"/>
        <filter val="310.2"/>
        <filter val="530.2"/>
        <filter val="10.3"/>
        <filter val="54.4"/>
        <filter val="104.4"/>
        <filter val="18.5"/>
        <filter val="210.5"/>
        <filter val="250.5"/>
        <filter val="268.5"/>
        <filter val="1198.5"/>
        <filter val="31035.52545"/>
        <filter val="190.6"/>
        <filter val="678.6"/>
        <filter val="1648.7"/>
        <filter val="2017.685489"/>
        <filter val="125764.4089"/>
        <filter val="1537.716652"/>
        <filter val="54410.09536"/>
        <filter val="1304.4816"/>
        <filter val="400"/>
        <filter val="2000"/>
        <filter val="5000"/>
        <filter val="11800"/>
        <filter val="86000"/>
        <filter val="4401"/>
        <filter val="80926.81831"/>
        <filter val="20457.37582"/>
        <filter val="3004"/>
        <filter val="129133.0044"/>
        <filter val="4777.747266"/>
        <filter val="409"/>
        <filter val="10"/>
        <filter val="11"/>
        <filter val="12"/>
        <filter val="6412"/>
        <filter val="17559.3693"/>
        <filter val="36690.15354"/>
        <filter val="15"/>
        <filter val="6815"/>
        <filter val="16"/>
        <filter val="18"/>
        <filter val="20"/>
        <filter val="5820"/>
        <filter val="21"/>
        <filter val="421"/>
        <filter val="23"/>
        <filter val="17265.00794"/>
        <filter val="25"/>
        <filter val="1025"/>
        <filter val="8425"/>
        <filter val="26"/>
        <filter val="4427"/>
        <filter val="30"/>
        <filter val="830"/>
        <filter val="32"/>
        <filter val="33"/>
        <filter val="7833"/>
        <filter val="4082502.103"/>
        <filter val="1435"/>
        <filter val="217799.495"/>
        <filter val="4079.735676"/>
        <filter val="37"/>
        <filter val="609.128577"/>
        <filter val="21439"/>
        <filter val="40"/>
        <filter val="42"/>
        <filter val="43"/>
        <filter val="843"/>
        <filter val="3188.049593"/>
        <filter val="98.589493"/>
        <filter val="2689.662183"/>
        <filter val="45"/>
        <filter val="1045"/>
        <filter val="109.5614035"/>
        <filter val="46"/>
        <filter val="373072.9216"/>
        <filter val="3049"/>
        <filter val="3449"/>
        <filter val="50"/>
        <filter val="450"/>
        <filter val="411850"/>
        <filter val="52"/>
        <filter val="6770.333282"/>
        <filter val="106453"/>
        <filter val="31.8484"/>
        <filter val="85.7484"/>
        <filter val="855"/>
        <filter val="57"/>
        <filter val="58"/>
        <filter val="7699.104019"/>
        <filter val="60"/>
        <filter val="2860"/>
        <filter val="50860"/>
        <filter val="1462"/>
        <filter val="63"/>
        <filter val="289279.0094"/>
        <filter val="65"/>
        <filter val="1465"/>
        <filter val="2865"/>
        <filter val="67"/>
        <filter val="14867"/>
        <filter val="68"/>
        <filter val="1069"/>
        <filter val="2130.494263"/>
        <filter val="74"/>
        <filter val="161.3004484"/>
        <filter val="19237.93794"/>
        <filter val="336.4995"/>
        <filter val="76"/>
        <filter val="77"/>
        <filter val="2478"/>
        <filter val="99.768038"/>
        <filter val="112031.1368"/>
        <filter val="879"/>
        <filter val="109658.4409"/>
        <filter val="80"/>
        <filter val="480"/>
        <filter val="1080"/>
        <filter val="1882"/>
        <filter val="10059.49102"/>
        <filter val="83"/>
        <filter val="85"/>
        <filter val="1488"/>
        <filter val="409.542148"/>
        <filter val="445.9998"/>
        <filter val="40091"/>
        <filter val="13288.27741"/>
        <filter val="15779.99632"/>
        <filter val="1671.544653"/>
        <filter val="3218.101844"/>
        <filter val="1811.035456"/>
        <filter val="24475.44136"/>
        <filter val="27166.29826"/>
        <filter val="4497"/>
        <filter val="898"/>
        <filter val="15842.36572"/>
        <filter val="56172.86044"/>
        <filter val="21487.88935"/>
        <filter val="8662.257356"/>
        <filter val="421.669766"/>
        <filter val="7161.63816"/>
        <filter val="-7446.510518"/>
        <filter val="21650.05328"/>
        <filter val="49086.47539"/>
        <filter val="69339.85289"/>
        <filter val="7901.152173"/>
        <filter val="594.238066"/>
        <filter val="4634.166"/>
        <filter val="4411.375078"/>
        <filter val="13275.60718"/>
        <filter val="201.052981"/>
        <filter val="549.675102"/>
        <filter val="13267.79333"/>
        <filter val="5051.485484"/>
        <filter val="7775.618647"/>
        <filter val="48.2097"/>
        <filter val="19627.16378"/>
        <filter val="242.698179"/>
      </filters>
    </filterColumn>
    <extLst/>
  </autoFilter>
  <mergeCells count="15">
    <mergeCell ref="A2:J2"/>
    <mergeCell ref="C3:E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  <mergeCell ref="N5:N6"/>
    <mergeCell ref="O5:O6"/>
    <mergeCell ref="P4:P6"/>
  </mergeCells>
  <printOptions horizontalCentered="1"/>
  <pageMargins left="0.471527777777778" right="0.471527777777778" top="0.747916666666667" bottom="0.629166666666667" header="0.313888888888889" footer="0.432638888888889"/>
  <pageSetup paperSize="9" scale="75" orientation="landscape"/>
  <headerFooter>
    <oddFooter>&amp;C第 &amp;P 页，共 &amp;N 页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C1197"/>
  <sheetViews>
    <sheetView showZeros="0" view="pageBreakPreview" zoomScaleNormal="100" zoomScaleSheetLayoutView="100" workbookViewId="0">
      <pane xSplit="1" ySplit="6" topLeftCell="B1150" activePane="bottomRight" state="frozen"/>
      <selection/>
      <selection pane="topRight"/>
      <selection pane="bottomLeft"/>
      <selection pane="bottomRight" activeCell="A1181" sqref="$A1181:$XFD1181"/>
    </sheetView>
  </sheetViews>
  <sheetFormatPr defaultColWidth="9" defaultRowHeight="14.25"/>
  <cols>
    <col min="1" max="1" width="48.25" style="328" customWidth="1"/>
    <col min="2" max="2" width="12.3333333333333" style="329" customWidth="1"/>
    <col min="3" max="3" width="13.25" style="324" customWidth="1"/>
    <col min="4" max="4" width="11.8333333333333" style="326" customWidth="1"/>
    <col min="5" max="5" width="12.3333333333333" style="326" hidden="1" customWidth="1"/>
    <col min="6" max="6" width="12" style="326" customWidth="1"/>
    <col min="7" max="7" width="12.5833333333333" style="330" customWidth="1"/>
    <col min="8" max="8" width="13.25" style="326" customWidth="1"/>
    <col min="9" max="9" width="11.25" style="331" customWidth="1"/>
    <col min="10" max="10" width="10.5833333333333" style="330" customWidth="1"/>
    <col min="11" max="11" width="12" style="326"/>
    <col min="12" max="12" width="9" style="326" hidden="1" customWidth="1"/>
    <col min="13" max="13" width="9.08333333333333" style="326" customWidth="1"/>
    <col min="14" max="14" width="9" style="326" customWidth="1"/>
    <col min="15" max="15" width="9.08333333333333" style="326" customWidth="1"/>
    <col min="16" max="17" width="12" style="326" customWidth="1"/>
    <col min="18" max="18" width="11.3333333333333" style="326" customWidth="1"/>
    <col min="19" max="19" width="12" style="326"/>
    <col min="20" max="252" width="9" style="326"/>
    <col min="253" max="253" width="50.75" style="326" customWidth="1"/>
    <col min="254" max="254" width="14" style="326" customWidth="1"/>
    <col min="255" max="255" width="9" style="326" hidden="1" customWidth="1"/>
    <col min="256" max="256" width="12.0833333333333" style="326" customWidth="1"/>
    <col min="257" max="257" width="9" style="326" hidden="1" customWidth="1"/>
    <col min="258" max="258" width="8.83333333333333" style="326" customWidth="1"/>
    <col min="259" max="259" width="12.3333333333333" style="326" customWidth="1"/>
    <col min="260" max="260" width="12" style="326" customWidth="1"/>
    <col min="261" max="261" width="8.75" style="326" customWidth="1"/>
    <col min="262" max="262" width="12" style="326" customWidth="1"/>
    <col min="263" max="263" width="11.25" style="326" customWidth="1"/>
    <col min="264" max="264" width="8.75" style="326" customWidth="1"/>
    <col min="265" max="265" width="9" style="326"/>
    <col min="266" max="269" width="9" style="326" hidden="1" customWidth="1"/>
    <col min="270" max="270" width="9.08333333333333" style="326" customWidth="1"/>
    <col min="271" max="271" width="9" style="326"/>
    <col min="272" max="272" width="9.08333333333333" style="326" customWidth="1"/>
    <col min="273" max="508" width="9" style="326"/>
    <col min="509" max="509" width="50.75" style="326" customWidth="1"/>
    <col min="510" max="510" width="14" style="326" customWidth="1"/>
    <col min="511" max="511" width="9" style="326" hidden="1" customWidth="1"/>
    <col min="512" max="512" width="12.0833333333333" style="326" customWidth="1"/>
    <col min="513" max="513" width="9" style="326" hidden="1" customWidth="1"/>
    <col min="514" max="514" width="8.83333333333333" style="326" customWidth="1"/>
    <col min="515" max="515" width="12.3333333333333" style="326" customWidth="1"/>
    <col min="516" max="516" width="12" style="326" customWidth="1"/>
    <col min="517" max="517" width="8.75" style="326" customWidth="1"/>
    <col min="518" max="518" width="12" style="326" customWidth="1"/>
    <col min="519" max="519" width="11.25" style="326" customWidth="1"/>
    <col min="520" max="520" width="8.75" style="326" customWidth="1"/>
    <col min="521" max="521" width="9" style="326"/>
    <col min="522" max="525" width="9" style="326" hidden="1" customWidth="1"/>
    <col min="526" max="526" width="9.08333333333333" style="326" customWidth="1"/>
    <col min="527" max="527" width="9" style="326"/>
    <col min="528" max="528" width="9.08333333333333" style="326" customWidth="1"/>
    <col min="529" max="764" width="9" style="326"/>
    <col min="765" max="765" width="50.75" style="326" customWidth="1"/>
    <col min="766" max="766" width="14" style="326" customWidth="1"/>
    <col min="767" max="767" width="9" style="326" hidden="1" customWidth="1"/>
    <col min="768" max="768" width="12.0833333333333" style="326" customWidth="1"/>
    <col min="769" max="769" width="9" style="326" hidden="1" customWidth="1"/>
    <col min="770" max="770" width="8.83333333333333" style="326" customWidth="1"/>
    <col min="771" max="771" width="12.3333333333333" style="326" customWidth="1"/>
    <col min="772" max="772" width="12" style="326" customWidth="1"/>
    <col min="773" max="773" width="8.75" style="326" customWidth="1"/>
    <col min="774" max="774" width="12" style="326" customWidth="1"/>
    <col min="775" max="775" width="11.25" style="326" customWidth="1"/>
    <col min="776" max="776" width="8.75" style="326" customWidth="1"/>
    <col min="777" max="777" width="9" style="326"/>
    <col min="778" max="781" width="9" style="326" hidden="1" customWidth="1"/>
    <col min="782" max="782" width="9.08333333333333" style="326" customWidth="1"/>
    <col min="783" max="783" width="9" style="326"/>
    <col min="784" max="784" width="9.08333333333333" style="326" customWidth="1"/>
    <col min="785" max="1020" width="9" style="326"/>
    <col min="1021" max="1021" width="50.75" style="326" customWidth="1"/>
    <col min="1022" max="1022" width="14" style="326" customWidth="1"/>
    <col min="1023" max="1023" width="9" style="326" hidden="1" customWidth="1"/>
    <col min="1024" max="1024" width="12.0833333333333" style="326" customWidth="1"/>
    <col min="1025" max="1025" width="9" style="326" hidden="1" customWidth="1"/>
    <col min="1026" max="1026" width="8.83333333333333" style="326" customWidth="1"/>
    <col min="1027" max="1027" width="12.3333333333333" style="326" customWidth="1"/>
    <col min="1028" max="1028" width="12" style="326" customWidth="1"/>
    <col min="1029" max="1029" width="8.75" style="326" customWidth="1"/>
    <col min="1030" max="1030" width="12" style="326" customWidth="1"/>
    <col min="1031" max="1031" width="11.25" style="326" customWidth="1"/>
    <col min="1032" max="1032" width="8.75" style="326" customWidth="1"/>
    <col min="1033" max="1033" width="9" style="326"/>
    <col min="1034" max="1037" width="9" style="326" hidden="1" customWidth="1"/>
    <col min="1038" max="1038" width="9.08333333333333" style="326" customWidth="1"/>
    <col min="1039" max="1039" width="9" style="326"/>
    <col min="1040" max="1040" width="9.08333333333333" style="326" customWidth="1"/>
    <col min="1041" max="1276" width="9" style="326"/>
    <col min="1277" max="1277" width="50.75" style="326" customWidth="1"/>
    <col min="1278" max="1278" width="14" style="326" customWidth="1"/>
    <col min="1279" max="1279" width="9" style="326" hidden="1" customWidth="1"/>
    <col min="1280" max="1280" width="12.0833333333333" style="326" customWidth="1"/>
    <col min="1281" max="1281" width="9" style="326" hidden="1" customWidth="1"/>
    <col min="1282" max="1282" width="8.83333333333333" style="326" customWidth="1"/>
    <col min="1283" max="1283" width="12.3333333333333" style="326" customWidth="1"/>
    <col min="1284" max="1284" width="12" style="326" customWidth="1"/>
    <col min="1285" max="1285" width="8.75" style="326" customWidth="1"/>
    <col min="1286" max="1286" width="12" style="326" customWidth="1"/>
    <col min="1287" max="1287" width="11.25" style="326" customWidth="1"/>
    <col min="1288" max="1288" width="8.75" style="326" customWidth="1"/>
    <col min="1289" max="1289" width="9" style="326"/>
    <col min="1290" max="1293" width="9" style="326" hidden="1" customWidth="1"/>
    <col min="1294" max="1294" width="9.08333333333333" style="326" customWidth="1"/>
    <col min="1295" max="1295" width="9" style="326"/>
    <col min="1296" max="1296" width="9.08333333333333" style="326" customWidth="1"/>
    <col min="1297" max="1532" width="9" style="326"/>
    <col min="1533" max="1533" width="50.75" style="326" customWidth="1"/>
    <col min="1534" max="1534" width="14" style="326" customWidth="1"/>
    <col min="1535" max="1535" width="9" style="326" hidden="1" customWidth="1"/>
    <col min="1536" max="1536" width="12.0833333333333" style="326" customWidth="1"/>
    <col min="1537" max="1537" width="9" style="326" hidden="1" customWidth="1"/>
    <col min="1538" max="1538" width="8.83333333333333" style="326" customWidth="1"/>
    <col min="1539" max="1539" width="12.3333333333333" style="326" customWidth="1"/>
    <col min="1540" max="1540" width="12" style="326" customWidth="1"/>
    <col min="1541" max="1541" width="8.75" style="326" customWidth="1"/>
    <col min="1542" max="1542" width="12" style="326" customWidth="1"/>
    <col min="1543" max="1543" width="11.25" style="326" customWidth="1"/>
    <col min="1544" max="1544" width="8.75" style="326" customWidth="1"/>
    <col min="1545" max="1545" width="9" style="326"/>
    <col min="1546" max="1549" width="9" style="326" hidden="1" customWidth="1"/>
    <col min="1550" max="1550" width="9.08333333333333" style="326" customWidth="1"/>
    <col min="1551" max="1551" width="9" style="326"/>
    <col min="1552" max="1552" width="9.08333333333333" style="326" customWidth="1"/>
    <col min="1553" max="1788" width="9" style="326"/>
    <col min="1789" max="1789" width="50.75" style="326" customWidth="1"/>
    <col min="1790" max="1790" width="14" style="326" customWidth="1"/>
    <col min="1791" max="1791" width="9" style="326" hidden="1" customWidth="1"/>
    <col min="1792" max="1792" width="12.0833333333333" style="326" customWidth="1"/>
    <col min="1793" max="1793" width="9" style="326" hidden="1" customWidth="1"/>
    <col min="1794" max="1794" width="8.83333333333333" style="326" customWidth="1"/>
    <col min="1795" max="1795" width="12.3333333333333" style="326" customWidth="1"/>
    <col min="1796" max="1796" width="12" style="326" customWidth="1"/>
    <col min="1797" max="1797" width="8.75" style="326" customWidth="1"/>
    <col min="1798" max="1798" width="12" style="326" customWidth="1"/>
    <col min="1799" max="1799" width="11.25" style="326" customWidth="1"/>
    <col min="1800" max="1800" width="8.75" style="326" customWidth="1"/>
    <col min="1801" max="1801" width="9" style="326"/>
    <col min="1802" max="1805" width="9" style="326" hidden="1" customWidth="1"/>
    <col min="1806" max="1806" width="9.08333333333333" style="326" customWidth="1"/>
    <col min="1807" max="1807" width="9" style="326"/>
    <col min="1808" max="1808" width="9.08333333333333" style="326" customWidth="1"/>
    <col min="1809" max="2044" width="9" style="326"/>
    <col min="2045" max="2045" width="50.75" style="326" customWidth="1"/>
    <col min="2046" max="2046" width="14" style="326" customWidth="1"/>
    <col min="2047" max="2047" width="9" style="326" hidden="1" customWidth="1"/>
    <col min="2048" max="2048" width="12.0833333333333" style="326" customWidth="1"/>
    <col min="2049" max="2049" width="9" style="326" hidden="1" customWidth="1"/>
    <col min="2050" max="2050" width="8.83333333333333" style="326" customWidth="1"/>
    <col min="2051" max="2051" width="12.3333333333333" style="326" customWidth="1"/>
    <col min="2052" max="2052" width="12" style="326" customWidth="1"/>
    <col min="2053" max="2053" width="8.75" style="326" customWidth="1"/>
    <col min="2054" max="2054" width="12" style="326" customWidth="1"/>
    <col min="2055" max="2055" width="11.25" style="326" customWidth="1"/>
    <col min="2056" max="2056" width="8.75" style="326" customWidth="1"/>
    <col min="2057" max="2057" width="9" style="326"/>
    <col min="2058" max="2061" width="9" style="326" hidden="1" customWidth="1"/>
    <col min="2062" max="2062" width="9.08333333333333" style="326" customWidth="1"/>
    <col min="2063" max="2063" width="9" style="326"/>
    <col min="2064" max="2064" width="9.08333333333333" style="326" customWidth="1"/>
    <col min="2065" max="2300" width="9" style="326"/>
    <col min="2301" max="2301" width="50.75" style="326" customWidth="1"/>
    <col min="2302" max="2302" width="14" style="326" customWidth="1"/>
    <col min="2303" max="2303" width="9" style="326" hidden="1" customWidth="1"/>
    <col min="2304" max="2304" width="12.0833333333333" style="326" customWidth="1"/>
    <col min="2305" max="2305" width="9" style="326" hidden="1" customWidth="1"/>
    <col min="2306" max="2306" width="8.83333333333333" style="326" customWidth="1"/>
    <col min="2307" max="2307" width="12.3333333333333" style="326" customWidth="1"/>
    <col min="2308" max="2308" width="12" style="326" customWidth="1"/>
    <col min="2309" max="2309" width="8.75" style="326" customWidth="1"/>
    <col min="2310" max="2310" width="12" style="326" customWidth="1"/>
    <col min="2311" max="2311" width="11.25" style="326" customWidth="1"/>
    <col min="2312" max="2312" width="8.75" style="326" customWidth="1"/>
    <col min="2313" max="2313" width="9" style="326"/>
    <col min="2314" max="2317" width="9" style="326" hidden="1" customWidth="1"/>
    <col min="2318" max="2318" width="9.08333333333333" style="326" customWidth="1"/>
    <col min="2319" max="2319" width="9" style="326"/>
    <col min="2320" max="2320" width="9.08333333333333" style="326" customWidth="1"/>
    <col min="2321" max="2556" width="9" style="326"/>
    <col min="2557" max="2557" width="50.75" style="326" customWidth="1"/>
    <col min="2558" max="2558" width="14" style="326" customWidth="1"/>
    <col min="2559" max="2559" width="9" style="326" hidden="1" customWidth="1"/>
    <col min="2560" max="2560" width="12.0833333333333" style="326" customWidth="1"/>
    <col min="2561" max="2561" width="9" style="326" hidden="1" customWidth="1"/>
    <col min="2562" max="2562" width="8.83333333333333" style="326" customWidth="1"/>
    <col min="2563" max="2563" width="12.3333333333333" style="326" customWidth="1"/>
    <col min="2564" max="2564" width="12" style="326" customWidth="1"/>
    <col min="2565" max="2565" width="8.75" style="326" customWidth="1"/>
    <col min="2566" max="2566" width="12" style="326" customWidth="1"/>
    <col min="2567" max="2567" width="11.25" style="326" customWidth="1"/>
    <col min="2568" max="2568" width="8.75" style="326" customWidth="1"/>
    <col min="2569" max="2569" width="9" style="326"/>
    <col min="2570" max="2573" width="9" style="326" hidden="1" customWidth="1"/>
    <col min="2574" max="2574" width="9.08333333333333" style="326" customWidth="1"/>
    <col min="2575" max="2575" width="9" style="326"/>
    <col min="2576" max="2576" width="9.08333333333333" style="326" customWidth="1"/>
    <col min="2577" max="2812" width="9" style="326"/>
    <col min="2813" max="2813" width="50.75" style="326" customWidth="1"/>
    <col min="2814" max="2814" width="14" style="326" customWidth="1"/>
    <col min="2815" max="2815" width="9" style="326" hidden="1" customWidth="1"/>
    <col min="2816" max="2816" width="12.0833333333333" style="326" customWidth="1"/>
    <col min="2817" max="2817" width="9" style="326" hidden="1" customWidth="1"/>
    <col min="2818" max="2818" width="8.83333333333333" style="326" customWidth="1"/>
    <col min="2819" max="2819" width="12.3333333333333" style="326" customWidth="1"/>
    <col min="2820" max="2820" width="12" style="326" customWidth="1"/>
    <col min="2821" max="2821" width="8.75" style="326" customWidth="1"/>
    <col min="2822" max="2822" width="12" style="326" customWidth="1"/>
    <col min="2823" max="2823" width="11.25" style="326" customWidth="1"/>
    <col min="2824" max="2824" width="8.75" style="326" customWidth="1"/>
    <col min="2825" max="2825" width="9" style="326"/>
    <col min="2826" max="2829" width="9" style="326" hidden="1" customWidth="1"/>
    <col min="2830" max="2830" width="9.08333333333333" style="326" customWidth="1"/>
    <col min="2831" max="2831" width="9" style="326"/>
    <col min="2832" max="2832" width="9.08333333333333" style="326" customWidth="1"/>
    <col min="2833" max="3068" width="9" style="326"/>
    <col min="3069" max="3069" width="50.75" style="326" customWidth="1"/>
    <col min="3070" max="3070" width="14" style="326" customWidth="1"/>
    <col min="3071" max="3071" width="9" style="326" hidden="1" customWidth="1"/>
    <col min="3072" max="3072" width="12.0833333333333" style="326" customWidth="1"/>
    <col min="3073" max="3073" width="9" style="326" hidden="1" customWidth="1"/>
    <col min="3074" max="3074" width="8.83333333333333" style="326" customWidth="1"/>
    <col min="3075" max="3075" width="12.3333333333333" style="326" customWidth="1"/>
    <col min="3076" max="3076" width="12" style="326" customWidth="1"/>
    <col min="3077" max="3077" width="8.75" style="326" customWidth="1"/>
    <col min="3078" max="3078" width="12" style="326" customWidth="1"/>
    <col min="3079" max="3079" width="11.25" style="326" customWidth="1"/>
    <col min="3080" max="3080" width="8.75" style="326" customWidth="1"/>
    <col min="3081" max="3081" width="9" style="326"/>
    <col min="3082" max="3085" width="9" style="326" hidden="1" customWidth="1"/>
    <col min="3086" max="3086" width="9.08333333333333" style="326" customWidth="1"/>
    <col min="3087" max="3087" width="9" style="326"/>
    <col min="3088" max="3088" width="9.08333333333333" style="326" customWidth="1"/>
    <col min="3089" max="3324" width="9" style="326"/>
    <col min="3325" max="3325" width="50.75" style="326" customWidth="1"/>
    <col min="3326" max="3326" width="14" style="326" customWidth="1"/>
    <col min="3327" max="3327" width="9" style="326" hidden="1" customWidth="1"/>
    <col min="3328" max="3328" width="12.0833333333333" style="326" customWidth="1"/>
    <col min="3329" max="3329" width="9" style="326" hidden="1" customWidth="1"/>
    <col min="3330" max="3330" width="8.83333333333333" style="326" customWidth="1"/>
    <col min="3331" max="3331" width="12.3333333333333" style="326" customWidth="1"/>
    <col min="3332" max="3332" width="12" style="326" customWidth="1"/>
    <col min="3333" max="3333" width="8.75" style="326" customWidth="1"/>
    <col min="3334" max="3334" width="12" style="326" customWidth="1"/>
    <col min="3335" max="3335" width="11.25" style="326" customWidth="1"/>
    <col min="3336" max="3336" width="8.75" style="326" customWidth="1"/>
    <col min="3337" max="3337" width="9" style="326"/>
    <col min="3338" max="3341" width="9" style="326" hidden="1" customWidth="1"/>
    <col min="3342" max="3342" width="9.08333333333333" style="326" customWidth="1"/>
    <col min="3343" max="3343" width="9" style="326"/>
    <col min="3344" max="3344" width="9.08333333333333" style="326" customWidth="1"/>
    <col min="3345" max="3580" width="9" style="326"/>
    <col min="3581" max="3581" width="50.75" style="326" customWidth="1"/>
    <col min="3582" max="3582" width="14" style="326" customWidth="1"/>
    <col min="3583" max="3583" width="9" style="326" hidden="1" customWidth="1"/>
    <col min="3584" max="3584" width="12.0833333333333" style="326" customWidth="1"/>
    <col min="3585" max="3585" width="9" style="326" hidden="1" customWidth="1"/>
    <col min="3586" max="3586" width="8.83333333333333" style="326" customWidth="1"/>
    <col min="3587" max="3587" width="12.3333333333333" style="326" customWidth="1"/>
    <col min="3588" max="3588" width="12" style="326" customWidth="1"/>
    <col min="3589" max="3589" width="8.75" style="326" customWidth="1"/>
    <col min="3590" max="3590" width="12" style="326" customWidth="1"/>
    <col min="3591" max="3591" width="11.25" style="326" customWidth="1"/>
    <col min="3592" max="3592" width="8.75" style="326" customWidth="1"/>
    <col min="3593" max="3593" width="9" style="326"/>
    <col min="3594" max="3597" width="9" style="326" hidden="1" customWidth="1"/>
    <col min="3598" max="3598" width="9.08333333333333" style="326" customWidth="1"/>
    <col min="3599" max="3599" width="9" style="326"/>
    <col min="3600" max="3600" width="9.08333333333333" style="326" customWidth="1"/>
    <col min="3601" max="3836" width="9" style="326"/>
    <col min="3837" max="3837" width="50.75" style="326" customWidth="1"/>
    <col min="3838" max="3838" width="14" style="326" customWidth="1"/>
    <col min="3839" max="3839" width="9" style="326" hidden="1" customWidth="1"/>
    <col min="3840" max="3840" width="12.0833333333333" style="326" customWidth="1"/>
    <col min="3841" max="3841" width="9" style="326" hidden="1" customWidth="1"/>
    <col min="3842" max="3842" width="8.83333333333333" style="326" customWidth="1"/>
    <col min="3843" max="3843" width="12.3333333333333" style="326" customWidth="1"/>
    <col min="3844" max="3844" width="12" style="326" customWidth="1"/>
    <col min="3845" max="3845" width="8.75" style="326" customWidth="1"/>
    <col min="3846" max="3846" width="12" style="326" customWidth="1"/>
    <col min="3847" max="3847" width="11.25" style="326" customWidth="1"/>
    <col min="3848" max="3848" width="8.75" style="326" customWidth="1"/>
    <col min="3849" max="3849" width="9" style="326"/>
    <col min="3850" max="3853" width="9" style="326" hidden="1" customWidth="1"/>
    <col min="3854" max="3854" width="9.08333333333333" style="326" customWidth="1"/>
    <col min="3855" max="3855" width="9" style="326"/>
    <col min="3856" max="3856" width="9.08333333333333" style="326" customWidth="1"/>
    <col min="3857" max="4092" width="9" style="326"/>
    <col min="4093" max="4093" width="50.75" style="326" customWidth="1"/>
    <col min="4094" max="4094" width="14" style="326" customWidth="1"/>
    <col min="4095" max="4095" width="9" style="326" hidden="1" customWidth="1"/>
    <col min="4096" max="4096" width="12.0833333333333" style="326" customWidth="1"/>
    <col min="4097" max="4097" width="9" style="326" hidden="1" customWidth="1"/>
    <col min="4098" max="4098" width="8.83333333333333" style="326" customWidth="1"/>
    <col min="4099" max="4099" width="12.3333333333333" style="326" customWidth="1"/>
    <col min="4100" max="4100" width="12" style="326" customWidth="1"/>
    <col min="4101" max="4101" width="8.75" style="326" customWidth="1"/>
    <col min="4102" max="4102" width="12" style="326" customWidth="1"/>
    <col min="4103" max="4103" width="11.25" style="326" customWidth="1"/>
    <col min="4104" max="4104" width="8.75" style="326" customWidth="1"/>
    <col min="4105" max="4105" width="9" style="326"/>
    <col min="4106" max="4109" width="9" style="326" hidden="1" customWidth="1"/>
    <col min="4110" max="4110" width="9.08333333333333" style="326" customWidth="1"/>
    <col min="4111" max="4111" width="9" style="326"/>
    <col min="4112" max="4112" width="9.08333333333333" style="326" customWidth="1"/>
    <col min="4113" max="4348" width="9" style="326"/>
    <col min="4349" max="4349" width="50.75" style="326" customWidth="1"/>
    <col min="4350" max="4350" width="14" style="326" customWidth="1"/>
    <col min="4351" max="4351" width="9" style="326" hidden="1" customWidth="1"/>
    <col min="4352" max="4352" width="12.0833333333333" style="326" customWidth="1"/>
    <col min="4353" max="4353" width="9" style="326" hidden="1" customWidth="1"/>
    <col min="4354" max="4354" width="8.83333333333333" style="326" customWidth="1"/>
    <col min="4355" max="4355" width="12.3333333333333" style="326" customWidth="1"/>
    <col min="4356" max="4356" width="12" style="326" customWidth="1"/>
    <col min="4357" max="4357" width="8.75" style="326" customWidth="1"/>
    <col min="4358" max="4358" width="12" style="326" customWidth="1"/>
    <col min="4359" max="4359" width="11.25" style="326" customWidth="1"/>
    <col min="4360" max="4360" width="8.75" style="326" customWidth="1"/>
    <col min="4361" max="4361" width="9" style="326"/>
    <col min="4362" max="4365" width="9" style="326" hidden="1" customWidth="1"/>
    <col min="4366" max="4366" width="9.08333333333333" style="326" customWidth="1"/>
    <col min="4367" max="4367" width="9" style="326"/>
    <col min="4368" max="4368" width="9.08333333333333" style="326" customWidth="1"/>
    <col min="4369" max="4604" width="9" style="326"/>
    <col min="4605" max="4605" width="50.75" style="326" customWidth="1"/>
    <col min="4606" max="4606" width="14" style="326" customWidth="1"/>
    <col min="4607" max="4607" width="9" style="326" hidden="1" customWidth="1"/>
    <col min="4608" max="4608" width="12.0833333333333" style="326" customWidth="1"/>
    <col min="4609" max="4609" width="9" style="326" hidden="1" customWidth="1"/>
    <col min="4610" max="4610" width="8.83333333333333" style="326" customWidth="1"/>
    <col min="4611" max="4611" width="12.3333333333333" style="326" customWidth="1"/>
    <col min="4612" max="4612" width="12" style="326" customWidth="1"/>
    <col min="4613" max="4613" width="8.75" style="326" customWidth="1"/>
    <col min="4614" max="4614" width="12" style="326" customWidth="1"/>
    <col min="4615" max="4615" width="11.25" style="326" customWidth="1"/>
    <col min="4616" max="4616" width="8.75" style="326" customWidth="1"/>
    <col min="4617" max="4617" width="9" style="326"/>
    <col min="4618" max="4621" width="9" style="326" hidden="1" customWidth="1"/>
    <col min="4622" max="4622" width="9.08333333333333" style="326" customWidth="1"/>
    <col min="4623" max="4623" width="9" style="326"/>
    <col min="4624" max="4624" width="9.08333333333333" style="326" customWidth="1"/>
    <col min="4625" max="4860" width="9" style="326"/>
    <col min="4861" max="4861" width="50.75" style="326" customWidth="1"/>
    <col min="4862" max="4862" width="14" style="326" customWidth="1"/>
    <col min="4863" max="4863" width="9" style="326" hidden="1" customWidth="1"/>
    <col min="4864" max="4864" width="12.0833333333333" style="326" customWidth="1"/>
    <col min="4865" max="4865" width="9" style="326" hidden="1" customWidth="1"/>
    <col min="4866" max="4866" width="8.83333333333333" style="326" customWidth="1"/>
    <col min="4867" max="4867" width="12.3333333333333" style="326" customWidth="1"/>
    <col min="4868" max="4868" width="12" style="326" customWidth="1"/>
    <col min="4869" max="4869" width="8.75" style="326" customWidth="1"/>
    <col min="4870" max="4870" width="12" style="326" customWidth="1"/>
    <col min="4871" max="4871" width="11.25" style="326" customWidth="1"/>
    <col min="4872" max="4872" width="8.75" style="326" customWidth="1"/>
    <col min="4873" max="4873" width="9" style="326"/>
    <col min="4874" max="4877" width="9" style="326" hidden="1" customWidth="1"/>
    <col min="4878" max="4878" width="9.08333333333333" style="326" customWidth="1"/>
    <col min="4879" max="4879" width="9" style="326"/>
    <col min="4880" max="4880" width="9.08333333333333" style="326" customWidth="1"/>
    <col min="4881" max="5116" width="9" style="326"/>
    <col min="5117" max="5117" width="50.75" style="326" customWidth="1"/>
    <col min="5118" max="5118" width="14" style="326" customWidth="1"/>
    <col min="5119" max="5119" width="9" style="326" hidden="1" customWidth="1"/>
    <col min="5120" max="5120" width="12.0833333333333" style="326" customWidth="1"/>
    <col min="5121" max="5121" width="9" style="326" hidden="1" customWidth="1"/>
    <col min="5122" max="5122" width="8.83333333333333" style="326" customWidth="1"/>
    <col min="5123" max="5123" width="12.3333333333333" style="326" customWidth="1"/>
    <col min="5124" max="5124" width="12" style="326" customWidth="1"/>
    <col min="5125" max="5125" width="8.75" style="326" customWidth="1"/>
    <col min="5126" max="5126" width="12" style="326" customWidth="1"/>
    <col min="5127" max="5127" width="11.25" style="326" customWidth="1"/>
    <col min="5128" max="5128" width="8.75" style="326" customWidth="1"/>
    <col min="5129" max="5129" width="9" style="326"/>
    <col min="5130" max="5133" width="9" style="326" hidden="1" customWidth="1"/>
    <col min="5134" max="5134" width="9.08333333333333" style="326" customWidth="1"/>
    <col min="5135" max="5135" width="9" style="326"/>
    <col min="5136" max="5136" width="9.08333333333333" style="326" customWidth="1"/>
    <col min="5137" max="5372" width="9" style="326"/>
    <col min="5373" max="5373" width="50.75" style="326" customWidth="1"/>
    <col min="5374" max="5374" width="14" style="326" customWidth="1"/>
    <col min="5375" max="5375" width="9" style="326" hidden="1" customWidth="1"/>
    <col min="5376" max="5376" width="12.0833333333333" style="326" customWidth="1"/>
    <col min="5377" max="5377" width="9" style="326" hidden="1" customWidth="1"/>
    <col min="5378" max="5378" width="8.83333333333333" style="326" customWidth="1"/>
    <col min="5379" max="5379" width="12.3333333333333" style="326" customWidth="1"/>
    <col min="5380" max="5380" width="12" style="326" customWidth="1"/>
    <col min="5381" max="5381" width="8.75" style="326" customWidth="1"/>
    <col min="5382" max="5382" width="12" style="326" customWidth="1"/>
    <col min="5383" max="5383" width="11.25" style="326" customWidth="1"/>
    <col min="5384" max="5384" width="8.75" style="326" customWidth="1"/>
    <col min="5385" max="5385" width="9" style="326"/>
    <col min="5386" max="5389" width="9" style="326" hidden="1" customWidth="1"/>
    <col min="5390" max="5390" width="9.08333333333333" style="326" customWidth="1"/>
    <col min="5391" max="5391" width="9" style="326"/>
    <col min="5392" max="5392" width="9.08333333333333" style="326" customWidth="1"/>
    <col min="5393" max="5628" width="9" style="326"/>
    <col min="5629" max="5629" width="50.75" style="326" customWidth="1"/>
    <col min="5630" max="5630" width="14" style="326" customWidth="1"/>
    <col min="5631" max="5631" width="9" style="326" hidden="1" customWidth="1"/>
    <col min="5632" max="5632" width="12.0833333333333" style="326" customWidth="1"/>
    <col min="5633" max="5633" width="9" style="326" hidden="1" customWidth="1"/>
    <col min="5634" max="5634" width="8.83333333333333" style="326" customWidth="1"/>
    <col min="5635" max="5635" width="12.3333333333333" style="326" customWidth="1"/>
    <col min="5636" max="5636" width="12" style="326" customWidth="1"/>
    <col min="5637" max="5637" width="8.75" style="326" customWidth="1"/>
    <col min="5638" max="5638" width="12" style="326" customWidth="1"/>
    <col min="5639" max="5639" width="11.25" style="326" customWidth="1"/>
    <col min="5640" max="5640" width="8.75" style="326" customWidth="1"/>
    <col min="5641" max="5641" width="9" style="326"/>
    <col min="5642" max="5645" width="9" style="326" hidden="1" customWidth="1"/>
    <col min="5646" max="5646" width="9.08333333333333" style="326" customWidth="1"/>
    <col min="5647" max="5647" width="9" style="326"/>
    <col min="5648" max="5648" width="9.08333333333333" style="326" customWidth="1"/>
    <col min="5649" max="5884" width="9" style="326"/>
    <col min="5885" max="5885" width="50.75" style="326" customWidth="1"/>
    <col min="5886" max="5886" width="14" style="326" customWidth="1"/>
    <col min="5887" max="5887" width="9" style="326" hidden="1" customWidth="1"/>
    <col min="5888" max="5888" width="12.0833333333333" style="326" customWidth="1"/>
    <col min="5889" max="5889" width="9" style="326" hidden="1" customWidth="1"/>
    <col min="5890" max="5890" width="8.83333333333333" style="326" customWidth="1"/>
    <col min="5891" max="5891" width="12.3333333333333" style="326" customWidth="1"/>
    <col min="5892" max="5892" width="12" style="326" customWidth="1"/>
    <col min="5893" max="5893" width="8.75" style="326" customWidth="1"/>
    <col min="5894" max="5894" width="12" style="326" customWidth="1"/>
    <col min="5895" max="5895" width="11.25" style="326" customWidth="1"/>
    <col min="5896" max="5896" width="8.75" style="326" customWidth="1"/>
    <col min="5897" max="5897" width="9" style="326"/>
    <col min="5898" max="5901" width="9" style="326" hidden="1" customWidth="1"/>
    <col min="5902" max="5902" width="9.08333333333333" style="326" customWidth="1"/>
    <col min="5903" max="5903" width="9" style="326"/>
    <col min="5904" max="5904" width="9.08333333333333" style="326" customWidth="1"/>
    <col min="5905" max="6140" width="9" style="326"/>
    <col min="6141" max="6141" width="50.75" style="326" customWidth="1"/>
    <col min="6142" max="6142" width="14" style="326" customWidth="1"/>
    <col min="6143" max="6143" width="9" style="326" hidden="1" customWidth="1"/>
    <col min="6144" max="6144" width="12.0833333333333" style="326" customWidth="1"/>
    <col min="6145" max="6145" width="9" style="326" hidden="1" customWidth="1"/>
    <col min="6146" max="6146" width="8.83333333333333" style="326" customWidth="1"/>
    <col min="6147" max="6147" width="12.3333333333333" style="326" customWidth="1"/>
    <col min="6148" max="6148" width="12" style="326" customWidth="1"/>
    <col min="6149" max="6149" width="8.75" style="326" customWidth="1"/>
    <col min="6150" max="6150" width="12" style="326" customWidth="1"/>
    <col min="6151" max="6151" width="11.25" style="326" customWidth="1"/>
    <col min="6152" max="6152" width="8.75" style="326" customWidth="1"/>
    <col min="6153" max="6153" width="9" style="326"/>
    <col min="6154" max="6157" width="9" style="326" hidden="1" customWidth="1"/>
    <col min="6158" max="6158" width="9.08333333333333" style="326" customWidth="1"/>
    <col min="6159" max="6159" width="9" style="326"/>
    <col min="6160" max="6160" width="9.08333333333333" style="326" customWidth="1"/>
    <col min="6161" max="6396" width="9" style="326"/>
    <col min="6397" max="6397" width="50.75" style="326" customWidth="1"/>
    <col min="6398" max="6398" width="14" style="326" customWidth="1"/>
    <col min="6399" max="6399" width="9" style="326" hidden="1" customWidth="1"/>
    <col min="6400" max="6400" width="12.0833333333333" style="326" customWidth="1"/>
    <col min="6401" max="6401" width="9" style="326" hidden="1" customWidth="1"/>
    <col min="6402" max="6402" width="8.83333333333333" style="326" customWidth="1"/>
    <col min="6403" max="6403" width="12.3333333333333" style="326" customWidth="1"/>
    <col min="6404" max="6404" width="12" style="326" customWidth="1"/>
    <col min="6405" max="6405" width="8.75" style="326" customWidth="1"/>
    <col min="6406" max="6406" width="12" style="326" customWidth="1"/>
    <col min="6407" max="6407" width="11.25" style="326" customWidth="1"/>
    <col min="6408" max="6408" width="8.75" style="326" customWidth="1"/>
    <col min="6409" max="6409" width="9" style="326"/>
    <col min="6410" max="6413" width="9" style="326" hidden="1" customWidth="1"/>
    <col min="6414" max="6414" width="9.08333333333333" style="326" customWidth="1"/>
    <col min="6415" max="6415" width="9" style="326"/>
    <col min="6416" max="6416" width="9.08333333333333" style="326" customWidth="1"/>
    <col min="6417" max="6652" width="9" style="326"/>
    <col min="6653" max="6653" width="50.75" style="326" customWidth="1"/>
    <col min="6654" max="6654" width="14" style="326" customWidth="1"/>
    <col min="6655" max="6655" width="9" style="326" hidden="1" customWidth="1"/>
    <col min="6656" max="6656" width="12.0833333333333" style="326" customWidth="1"/>
    <col min="6657" max="6657" width="9" style="326" hidden="1" customWidth="1"/>
    <col min="6658" max="6658" width="8.83333333333333" style="326" customWidth="1"/>
    <col min="6659" max="6659" width="12.3333333333333" style="326" customWidth="1"/>
    <col min="6660" max="6660" width="12" style="326" customWidth="1"/>
    <col min="6661" max="6661" width="8.75" style="326" customWidth="1"/>
    <col min="6662" max="6662" width="12" style="326" customWidth="1"/>
    <col min="6663" max="6663" width="11.25" style="326" customWidth="1"/>
    <col min="6664" max="6664" width="8.75" style="326" customWidth="1"/>
    <col min="6665" max="6665" width="9" style="326"/>
    <col min="6666" max="6669" width="9" style="326" hidden="1" customWidth="1"/>
    <col min="6670" max="6670" width="9.08333333333333" style="326" customWidth="1"/>
    <col min="6671" max="6671" width="9" style="326"/>
    <col min="6672" max="6672" width="9.08333333333333" style="326" customWidth="1"/>
    <col min="6673" max="6908" width="9" style="326"/>
    <col min="6909" max="6909" width="50.75" style="326" customWidth="1"/>
    <col min="6910" max="6910" width="14" style="326" customWidth="1"/>
    <col min="6911" max="6911" width="9" style="326" hidden="1" customWidth="1"/>
    <col min="6912" max="6912" width="12.0833333333333" style="326" customWidth="1"/>
    <col min="6913" max="6913" width="9" style="326" hidden="1" customWidth="1"/>
    <col min="6914" max="6914" width="8.83333333333333" style="326" customWidth="1"/>
    <col min="6915" max="6915" width="12.3333333333333" style="326" customWidth="1"/>
    <col min="6916" max="6916" width="12" style="326" customWidth="1"/>
    <col min="6917" max="6917" width="8.75" style="326" customWidth="1"/>
    <col min="6918" max="6918" width="12" style="326" customWidth="1"/>
    <col min="6919" max="6919" width="11.25" style="326" customWidth="1"/>
    <col min="6920" max="6920" width="8.75" style="326" customWidth="1"/>
    <col min="6921" max="6921" width="9" style="326"/>
    <col min="6922" max="6925" width="9" style="326" hidden="1" customWidth="1"/>
    <col min="6926" max="6926" width="9.08333333333333" style="326" customWidth="1"/>
    <col min="6927" max="6927" width="9" style="326"/>
    <col min="6928" max="6928" width="9.08333333333333" style="326" customWidth="1"/>
    <col min="6929" max="7164" width="9" style="326"/>
    <col min="7165" max="7165" width="50.75" style="326" customWidth="1"/>
    <col min="7166" max="7166" width="14" style="326" customWidth="1"/>
    <col min="7167" max="7167" width="9" style="326" hidden="1" customWidth="1"/>
    <col min="7168" max="7168" width="12.0833333333333" style="326" customWidth="1"/>
    <col min="7169" max="7169" width="9" style="326" hidden="1" customWidth="1"/>
    <col min="7170" max="7170" width="8.83333333333333" style="326" customWidth="1"/>
    <col min="7171" max="7171" width="12.3333333333333" style="326" customWidth="1"/>
    <col min="7172" max="7172" width="12" style="326" customWidth="1"/>
    <col min="7173" max="7173" width="8.75" style="326" customWidth="1"/>
    <col min="7174" max="7174" width="12" style="326" customWidth="1"/>
    <col min="7175" max="7175" width="11.25" style="326" customWidth="1"/>
    <col min="7176" max="7176" width="8.75" style="326" customWidth="1"/>
    <col min="7177" max="7177" width="9" style="326"/>
    <col min="7178" max="7181" width="9" style="326" hidden="1" customWidth="1"/>
    <col min="7182" max="7182" width="9.08333333333333" style="326" customWidth="1"/>
    <col min="7183" max="7183" width="9" style="326"/>
    <col min="7184" max="7184" width="9.08333333333333" style="326" customWidth="1"/>
    <col min="7185" max="7420" width="9" style="326"/>
    <col min="7421" max="7421" width="50.75" style="326" customWidth="1"/>
    <col min="7422" max="7422" width="14" style="326" customWidth="1"/>
    <col min="7423" max="7423" width="9" style="326" hidden="1" customWidth="1"/>
    <col min="7424" max="7424" width="12.0833333333333" style="326" customWidth="1"/>
    <col min="7425" max="7425" width="9" style="326" hidden="1" customWidth="1"/>
    <col min="7426" max="7426" width="8.83333333333333" style="326" customWidth="1"/>
    <col min="7427" max="7427" width="12.3333333333333" style="326" customWidth="1"/>
    <col min="7428" max="7428" width="12" style="326" customWidth="1"/>
    <col min="7429" max="7429" width="8.75" style="326" customWidth="1"/>
    <col min="7430" max="7430" width="12" style="326" customWidth="1"/>
    <col min="7431" max="7431" width="11.25" style="326" customWidth="1"/>
    <col min="7432" max="7432" width="8.75" style="326" customWidth="1"/>
    <col min="7433" max="7433" width="9" style="326"/>
    <col min="7434" max="7437" width="9" style="326" hidden="1" customWidth="1"/>
    <col min="7438" max="7438" width="9.08333333333333" style="326" customWidth="1"/>
    <col min="7439" max="7439" width="9" style="326"/>
    <col min="7440" max="7440" width="9.08333333333333" style="326" customWidth="1"/>
    <col min="7441" max="7676" width="9" style="326"/>
    <col min="7677" max="7677" width="50.75" style="326" customWidth="1"/>
    <col min="7678" max="7678" width="14" style="326" customWidth="1"/>
    <col min="7679" max="7679" width="9" style="326" hidden="1" customWidth="1"/>
    <col min="7680" max="7680" width="12.0833333333333" style="326" customWidth="1"/>
    <col min="7681" max="7681" width="9" style="326" hidden="1" customWidth="1"/>
    <col min="7682" max="7682" width="8.83333333333333" style="326" customWidth="1"/>
    <col min="7683" max="7683" width="12.3333333333333" style="326" customWidth="1"/>
    <col min="7684" max="7684" width="12" style="326" customWidth="1"/>
    <col min="7685" max="7685" width="8.75" style="326" customWidth="1"/>
    <col min="7686" max="7686" width="12" style="326" customWidth="1"/>
    <col min="7687" max="7687" width="11.25" style="326" customWidth="1"/>
    <col min="7688" max="7688" width="8.75" style="326" customWidth="1"/>
    <col min="7689" max="7689" width="9" style="326"/>
    <col min="7690" max="7693" width="9" style="326" hidden="1" customWidth="1"/>
    <col min="7694" max="7694" width="9.08333333333333" style="326" customWidth="1"/>
    <col min="7695" max="7695" width="9" style="326"/>
    <col min="7696" max="7696" width="9.08333333333333" style="326" customWidth="1"/>
    <col min="7697" max="7932" width="9" style="326"/>
    <col min="7933" max="7933" width="50.75" style="326" customWidth="1"/>
    <col min="7934" max="7934" width="14" style="326" customWidth="1"/>
    <col min="7935" max="7935" width="9" style="326" hidden="1" customWidth="1"/>
    <col min="7936" max="7936" width="12.0833333333333" style="326" customWidth="1"/>
    <col min="7937" max="7937" width="9" style="326" hidden="1" customWidth="1"/>
    <col min="7938" max="7938" width="8.83333333333333" style="326" customWidth="1"/>
    <col min="7939" max="7939" width="12.3333333333333" style="326" customWidth="1"/>
    <col min="7940" max="7940" width="12" style="326" customWidth="1"/>
    <col min="7941" max="7941" width="8.75" style="326" customWidth="1"/>
    <col min="7942" max="7942" width="12" style="326" customWidth="1"/>
    <col min="7943" max="7943" width="11.25" style="326" customWidth="1"/>
    <col min="7944" max="7944" width="8.75" style="326" customWidth="1"/>
    <col min="7945" max="7945" width="9" style="326"/>
    <col min="7946" max="7949" width="9" style="326" hidden="1" customWidth="1"/>
    <col min="7950" max="7950" width="9.08333333333333" style="326" customWidth="1"/>
    <col min="7951" max="7951" width="9" style="326"/>
    <col min="7952" max="7952" width="9.08333333333333" style="326" customWidth="1"/>
    <col min="7953" max="8188" width="9" style="326"/>
    <col min="8189" max="8189" width="50.75" style="326" customWidth="1"/>
    <col min="8190" max="8190" width="14" style="326" customWidth="1"/>
    <col min="8191" max="8191" width="9" style="326" hidden="1" customWidth="1"/>
    <col min="8192" max="8192" width="12.0833333333333" style="326" customWidth="1"/>
    <col min="8193" max="8193" width="9" style="326" hidden="1" customWidth="1"/>
    <col min="8194" max="8194" width="8.83333333333333" style="326" customWidth="1"/>
    <col min="8195" max="8195" width="12.3333333333333" style="326" customWidth="1"/>
    <col min="8196" max="8196" width="12" style="326" customWidth="1"/>
    <col min="8197" max="8197" width="8.75" style="326" customWidth="1"/>
    <col min="8198" max="8198" width="12" style="326" customWidth="1"/>
    <col min="8199" max="8199" width="11.25" style="326" customWidth="1"/>
    <col min="8200" max="8200" width="8.75" style="326" customWidth="1"/>
    <col min="8201" max="8201" width="9" style="326"/>
    <col min="8202" max="8205" width="9" style="326" hidden="1" customWidth="1"/>
    <col min="8206" max="8206" width="9.08333333333333" style="326" customWidth="1"/>
    <col min="8207" max="8207" width="9" style="326"/>
    <col min="8208" max="8208" width="9.08333333333333" style="326" customWidth="1"/>
    <col min="8209" max="8444" width="9" style="326"/>
    <col min="8445" max="8445" width="50.75" style="326" customWidth="1"/>
    <col min="8446" max="8446" width="14" style="326" customWidth="1"/>
    <col min="8447" max="8447" width="9" style="326" hidden="1" customWidth="1"/>
    <col min="8448" max="8448" width="12.0833333333333" style="326" customWidth="1"/>
    <col min="8449" max="8449" width="9" style="326" hidden="1" customWidth="1"/>
    <col min="8450" max="8450" width="8.83333333333333" style="326" customWidth="1"/>
    <col min="8451" max="8451" width="12.3333333333333" style="326" customWidth="1"/>
    <col min="8452" max="8452" width="12" style="326" customWidth="1"/>
    <col min="8453" max="8453" width="8.75" style="326" customWidth="1"/>
    <col min="8454" max="8454" width="12" style="326" customWidth="1"/>
    <col min="8455" max="8455" width="11.25" style="326" customWidth="1"/>
    <col min="8456" max="8456" width="8.75" style="326" customWidth="1"/>
    <col min="8457" max="8457" width="9" style="326"/>
    <col min="8458" max="8461" width="9" style="326" hidden="1" customWidth="1"/>
    <col min="8462" max="8462" width="9.08333333333333" style="326" customWidth="1"/>
    <col min="8463" max="8463" width="9" style="326"/>
    <col min="8464" max="8464" width="9.08333333333333" style="326" customWidth="1"/>
    <col min="8465" max="8700" width="9" style="326"/>
    <col min="8701" max="8701" width="50.75" style="326" customWidth="1"/>
    <col min="8702" max="8702" width="14" style="326" customWidth="1"/>
    <col min="8703" max="8703" width="9" style="326" hidden="1" customWidth="1"/>
    <col min="8704" max="8704" width="12.0833333333333" style="326" customWidth="1"/>
    <col min="8705" max="8705" width="9" style="326" hidden="1" customWidth="1"/>
    <col min="8706" max="8706" width="8.83333333333333" style="326" customWidth="1"/>
    <col min="8707" max="8707" width="12.3333333333333" style="326" customWidth="1"/>
    <col min="8708" max="8708" width="12" style="326" customWidth="1"/>
    <col min="8709" max="8709" width="8.75" style="326" customWidth="1"/>
    <col min="8710" max="8710" width="12" style="326" customWidth="1"/>
    <col min="8711" max="8711" width="11.25" style="326" customWidth="1"/>
    <col min="8712" max="8712" width="8.75" style="326" customWidth="1"/>
    <col min="8713" max="8713" width="9" style="326"/>
    <col min="8714" max="8717" width="9" style="326" hidden="1" customWidth="1"/>
    <col min="8718" max="8718" width="9.08333333333333" style="326" customWidth="1"/>
    <col min="8719" max="8719" width="9" style="326"/>
    <col min="8720" max="8720" width="9.08333333333333" style="326" customWidth="1"/>
    <col min="8721" max="8956" width="9" style="326"/>
    <col min="8957" max="8957" width="50.75" style="326" customWidth="1"/>
    <col min="8958" max="8958" width="14" style="326" customWidth="1"/>
    <col min="8959" max="8959" width="9" style="326" hidden="1" customWidth="1"/>
    <col min="8960" max="8960" width="12.0833333333333" style="326" customWidth="1"/>
    <col min="8961" max="8961" width="9" style="326" hidden="1" customWidth="1"/>
    <col min="8962" max="8962" width="8.83333333333333" style="326" customWidth="1"/>
    <col min="8963" max="8963" width="12.3333333333333" style="326" customWidth="1"/>
    <col min="8964" max="8964" width="12" style="326" customWidth="1"/>
    <col min="8965" max="8965" width="8.75" style="326" customWidth="1"/>
    <col min="8966" max="8966" width="12" style="326" customWidth="1"/>
    <col min="8967" max="8967" width="11.25" style="326" customWidth="1"/>
    <col min="8968" max="8968" width="8.75" style="326" customWidth="1"/>
    <col min="8969" max="8969" width="9" style="326"/>
    <col min="8970" max="8973" width="9" style="326" hidden="1" customWidth="1"/>
    <col min="8974" max="8974" width="9.08333333333333" style="326" customWidth="1"/>
    <col min="8975" max="8975" width="9" style="326"/>
    <col min="8976" max="8976" width="9.08333333333333" style="326" customWidth="1"/>
    <col min="8977" max="9212" width="9" style="326"/>
    <col min="9213" max="9213" width="50.75" style="326" customWidth="1"/>
    <col min="9214" max="9214" width="14" style="326" customWidth="1"/>
    <col min="9215" max="9215" width="9" style="326" hidden="1" customWidth="1"/>
    <col min="9216" max="9216" width="12.0833333333333" style="326" customWidth="1"/>
    <col min="9217" max="9217" width="9" style="326" hidden="1" customWidth="1"/>
    <col min="9218" max="9218" width="8.83333333333333" style="326" customWidth="1"/>
    <col min="9219" max="9219" width="12.3333333333333" style="326" customWidth="1"/>
    <col min="9220" max="9220" width="12" style="326" customWidth="1"/>
    <col min="9221" max="9221" width="8.75" style="326" customWidth="1"/>
    <col min="9222" max="9222" width="12" style="326" customWidth="1"/>
    <col min="9223" max="9223" width="11.25" style="326" customWidth="1"/>
    <col min="9224" max="9224" width="8.75" style="326" customWidth="1"/>
    <col min="9225" max="9225" width="9" style="326"/>
    <col min="9226" max="9229" width="9" style="326" hidden="1" customWidth="1"/>
    <col min="9230" max="9230" width="9.08333333333333" style="326" customWidth="1"/>
    <col min="9231" max="9231" width="9" style="326"/>
    <col min="9232" max="9232" width="9.08333333333333" style="326" customWidth="1"/>
    <col min="9233" max="9468" width="9" style="326"/>
    <col min="9469" max="9469" width="50.75" style="326" customWidth="1"/>
    <col min="9470" max="9470" width="14" style="326" customWidth="1"/>
    <col min="9471" max="9471" width="9" style="326" hidden="1" customWidth="1"/>
    <col min="9472" max="9472" width="12.0833333333333" style="326" customWidth="1"/>
    <col min="9473" max="9473" width="9" style="326" hidden="1" customWidth="1"/>
    <col min="9474" max="9474" width="8.83333333333333" style="326" customWidth="1"/>
    <col min="9475" max="9475" width="12.3333333333333" style="326" customWidth="1"/>
    <col min="9476" max="9476" width="12" style="326" customWidth="1"/>
    <col min="9477" max="9477" width="8.75" style="326" customWidth="1"/>
    <col min="9478" max="9478" width="12" style="326" customWidth="1"/>
    <col min="9479" max="9479" width="11.25" style="326" customWidth="1"/>
    <col min="9480" max="9480" width="8.75" style="326" customWidth="1"/>
    <col min="9481" max="9481" width="9" style="326"/>
    <col min="9482" max="9485" width="9" style="326" hidden="1" customWidth="1"/>
    <col min="9486" max="9486" width="9.08333333333333" style="326" customWidth="1"/>
    <col min="9487" max="9487" width="9" style="326"/>
    <col min="9488" max="9488" width="9.08333333333333" style="326" customWidth="1"/>
    <col min="9489" max="9724" width="9" style="326"/>
    <col min="9725" max="9725" width="50.75" style="326" customWidth="1"/>
    <col min="9726" max="9726" width="14" style="326" customWidth="1"/>
    <col min="9727" max="9727" width="9" style="326" hidden="1" customWidth="1"/>
    <col min="9728" max="9728" width="12.0833333333333" style="326" customWidth="1"/>
    <col min="9729" max="9729" width="9" style="326" hidden="1" customWidth="1"/>
    <col min="9730" max="9730" width="8.83333333333333" style="326" customWidth="1"/>
    <col min="9731" max="9731" width="12.3333333333333" style="326" customWidth="1"/>
    <col min="9732" max="9732" width="12" style="326" customWidth="1"/>
    <col min="9733" max="9733" width="8.75" style="326" customWidth="1"/>
    <col min="9734" max="9734" width="12" style="326" customWidth="1"/>
    <col min="9735" max="9735" width="11.25" style="326" customWidth="1"/>
    <col min="9736" max="9736" width="8.75" style="326" customWidth="1"/>
    <col min="9737" max="9737" width="9" style="326"/>
    <col min="9738" max="9741" width="9" style="326" hidden="1" customWidth="1"/>
    <col min="9742" max="9742" width="9.08333333333333" style="326" customWidth="1"/>
    <col min="9743" max="9743" width="9" style="326"/>
    <col min="9744" max="9744" width="9.08333333333333" style="326" customWidth="1"/>
    <col min="9745" max="9980" width="9" style="326"/>
    <col min="9981" max="9981" width="50.75" style="326" customWidth="1"/>
    <col min="9982" max="9982" width="14" style="326" customWidth="1"/>
    <col min="9983" max="9983" width="9" style="326" hidden="1" customWidth="1"/>
    <col min="9984" max="9984" width="12.0833333333333" style="326" customWidth="1"/>
    <col min="9985" max="9985" width="9" style="326" hidden="1" customWidth="1"/>
    <col min="9986" max="9986" width="8.83333333333333" style="326" customWidth="1"/>
    <col min="9987" max="9987" width="12.3333333333333" style="326" customWidth="1"/>
    <col min="9988" max="9988" width="12" style="326" customWidth="1"/>
    <col min="9989" max="9989" width="8.75" style="326" customWidth="1"/>
    <col min="9990" max="9990" width="12" style="326" customWidth="1"/>
    <col min="9991" max="9991" width="11.25" style="326" customWidth="1"/>
    <col min="9992" max="9992" width="8.75" style="326" customWidth="1"/>
    <col min="9993" max="9993" width="9" style="326"/>
    <col min="9994" max="9997" width="9" style="326" hidden="1" customWidth="1"/>
    <col min="9998" max="9998" width="9.08333333333333" style="326" customWidth="1"/>
    <col min="9999" max="9999" width="9" style="326"/>
    <col min="10000" max="10000" width="9.08333333333333" style="326" customWidth="1"/>
    <col min="10001" max="10236" width="9" style="326"/>
    <col min="10237" max="10237" width="50.75" style="326" customWidth="1"/>
    <col min="10238" max="10238" width="14" style="326" customWidth="1"/>
    <col min="10239" max="10239" width="9" style="326" hidden="1" customWidth="1"/>
    <col min="10240" max="10240" width="12.0833333333333" style="326" customWidth="1"/>
    <col min="10241" max="10241" width="9" style="326" hidden="1" customWidth="1"/>
    <col min="10242" max="10242" width="8.83333333333333" style="326" customWidth="1"/>
    <col min="10243" max="10243" width="12.3333333333333" style="326" customWidth="1"/>
    <col min="10244" max="10244" width="12" style="326" customWidth="1"/>
    <col min="10245" max="10245" width="8.75" style="326" customWidth="1"/>
    <col min="10246" max="10246" width="12" style="326" customWidth="1"/>
    <col min="10247" max="10247" width="11.25" style="326" customWidth="1"/>
    <col min="10248" max="10248" width="8.75" style="326" customWidth="1"/>
    <col min="10249" max="10249" width="9" style="326"/>
    <col min="10250" max="10253" width="9" style="326" hidden="1" customWidth="1"/>
    <col min="10254" max="10254" width="9.08333333333333" style="326" customWidth="1"/>
    <col min="10255" max="10255" width="9" style="326"/>
    <col min="10256" max="10256" width="9.08333333333333" style="326" customWidth="1"/>
    <col min="10257" max="10492" width="9" style="326"/>
    <col min="10493" max="10493" width="50.75" style="326" customWidth="1"/>
    <col min="10494" max="10494" width="14" style="326" customWidth="1"/>
    <col min="10495" max="10495" width="9" style="326" hidden="1" customWidth="1"/>
    <col min="10496" max="10496" width="12.0833333333333" style="326" customWidth="1"/>
    <col min="10497" max="10497" width="9" style="326" hidden="1" customWidth="1"/>
    <col min="10498" max="10498" width="8.83333333333333" style="326" customWidth="1"/>
    <col min="10499" max="10499" width="12.3333333333333" style="326" customWidth="1"/>
    <col min="10500" max="10500" width="12" style="326" customWidth="1"/>
    <col min="10501" max="10501" width="8.75" style="326" customWidth="1"/>
    <col min="10502" max="10502" width="12" style="326" customWidth="1"/>
    <col min="10503" max="10503" width="11.25" style="326" customWidth="1"/>
    <col min="10504" max="10504" width="8.75" style="326" customWidth="1"/>
    <col min="10505" max="10505" width="9" style="326"/>
    <col min="10506" max="10509" width="9" style="326" hidden="1" customWidth="1"/>
    <col min="10510" max="10510" width="9.08333333333333" style="326" customWidth="1"/>
    <col min="10511" max="10511" width="9" style="326"/>
    <col min="10512" max="10512" width="9.08333333333333" style="326" customWidth="1"/>
    <col min="10513" max="10748" width="9" style="326"/>
    <col min="10749" max="10749" width="50.75" style="326" customWidth="1"/>
    <col min="10750" max="10750" width="14" style="326" customWidth="1"/>
    <col min="10751" max="10751" width="9" style="326" hidden="1" customWidth="1"/>
    <col min="10752" max="10752" width="12.0833333333333" style="326" customWidth="1"/>
    <col min="10753" max="10753" width="9" style="326" hidden="1" customWidth="1"/>
    <col min="10754" max="10754" width="8.83333333333333" style="326" customWidth="1"/>
    <col min="10755" max="10755" width="12.3333333333333" style="326" customWidth="1"/>
    <col min="10756" max="10756" width="12" style="326" customWidth="1"/>
    <col min="10757" max="10757" width="8.75" style="326" customWidth="1"/>
    <col min="10758" max="10758" width="12" style="326" customWidth="1"/>
    <col min="10759" max="10759" width="11.25" style="326" customWidth="1"/>
    <col min="10760" max="10760" width="8.75" style="326" customWidth="1"/>
    <col min="10761" max="10761" width="9" style="326"/>
    <col min="10762" max="10765" width="9" style="326" hidden="1" customWidth="1"/>
    <col min="10766" max="10766" width="9.08333333333333" style="326" customWidth="1"/>
    <col min="10767" max="10767" width="9" style="326"/>
    <col min="10768" max="10768" width="9.08333333333333" style="326" customWidth="1"/>
    <col min="10769" max="11004" width="9" style="326"/>
    <col min="11005" max="11005" width="50.75" style="326" customWidth="1"/>
    <col min="11006" max="11006" width="14" style="326" customWidth="1"/>
    <col min="11007" max="11007" width="9" style="326" hidden="1" customWidth="1"/>
    <col min="11008" max="11008" width="12.0833333333333" style="326" customWidth="1"/>
    <col min="11009" max="11009" width="9" style="326" hidden="1" customWidth="1"/>
    <col min="11010" max="11010" width="8.83333333333333" style="326" customWidth="1"/>
    <col min="11011" max="11011" width="12.3333333333333" style="326" customWidth="1"/>
    <col min="11012" max="11012" width="12" style="326" customWidth="1"/>
    <col min="11013" max="11013" width="8.75" style="326" customWidth="1"/>
    <col min="11014" max="11014" width="12" style="326" customWidth="1"/>
    <col min="11015" max="11015" width="11.25" style="326" customWidth="1"/>
    <col min="11016" max="11016" width="8.75" style="326" customWidth="1"/>
    <col min="11017" max="11017" width="9" style="326"/>
    <col min="11018" max="11021" width="9" style="326" hidden="1" customWidth="1"/>
    <col min="11022" max="11022" width="9.08333333333333" style="326" customWidth="1"/>
    <col min="11023" max="11023" width="9" style="326"/>
    <col min="11024" max="11024" width="9.08333333333333" style="326" customWidth="1"/>
    <col min="11025" max="11260" width="9" style="326"/>
    <col min="11261" max="11261" width="50.75" style="326" customWidth="1"/>
    <col min="11262" max="11262" width="14" style="326" customWidth="1"/>
    <col min="11263" max="11263" width="9" style="326" hidden="1" customWidth="1"/>
    <col min="11264" max="11264" width="12.0833333333333" style="326" customWidth="1"/>
    <col min="11265" max="11265" width="9" style="326" hidden="1" customWidth="1"/>
    <col min="11266" max="11266" width="8.83333333333333" style="326" customWidth="1"/>
    <col min="11267" max="11267" width="12.3333333333333" style="326" customWidth="1"/>
    <col min="11268" max="11268" width="12" style="326" customWidth="1"/>
    <col min="11269" max="11269" width="8.75" style="326" customWidth="1"/>
    <col min="11270" max="11270" width="12" style="326" customWidth="1"/>
    <col min="11271" max="11271" width="11.25" style="326" customWidth="1"/>
    <col min="11272" max="11272" width="8.75" style="326" customWidth="1"/>
    <col min="11273" max="11273" width="9" style="326"/>
    <col min="11274" max="11277" width="9" style="326" hidden="1" customWidth="1"/>
    <col min="11278" max="11278" width="9.08333333333333" style="326" customWidth="1"/>
    <col min="11279" max="11279" width="9" style="326"/>
    <col min="11280" max="11280" width="9.08333333333333" style="326" customWidth="1"/>
    <col min="11281" max="11516" width="9" style="326"/>
    <col min="11517" max="11517" width="50.75" style="326" customWidth="1"/>
    <col min="11518" max="11518" width="14" style="326" customWidth="1"/>
    <col min="11519" max="11519" width="9" style="326" hidden="1" customWidth="1"/>
    <col min="11520" max="11520" width="12.0833333333333" style="326" customWidth="1"/>
    <col min="11521" max="11521" width="9" style="326" hidden="1" customWidth="1"/>
    <col min="11522" max="11522" width="8.83333333333333" style="326" customWidth="1"/>
    <col min="11523" max="11523" width="12.3333333333333" style="326" customWidth="1"/>
    <col min="11524" max="11524" width="12" style="326" customWidth="1"/>
    <col min="11525" max="11525" width="8.75" style="326" customWidth="1"/>
    <col min="11526" max="11526" width="12" style="326" customWidth="1"/>
    <col min="11527" max="11527" width="11.25" style="326" customWidth="1"/>
    <col min="11528" max="11528" width="8.75" style="326" customWidth="1"/>
    <col min="11529" max="11529" width="9" style="326"/>
    <col min="11530" max="11533" width="9" style="326" hidden="1" customWidth="1"/>
    <col min="11534" max="11534" width="9.08333333333333" style="326" customWidth="1"/>
    <col min="11535" max="11535" width="9" style="326"/>
    <col min="11536" max="11536" width="9.08333333333333" style="326" customWidth="1"/>
    <col min="11537" max="11772" width="9" style="326"/>
    <col min="11773" max="11773" width="50.75" style="326" customWidth="1"/>
    <col min="11774" max="11774" width="14" style="326" customWidth="1"/>
    <col min="11775" max="11775" width="9" style="326" hidden="1" customWidth="1"/>
    <col min="11776" max="11776" width="12.0833333333333" style="326" customWidth="1"/>
    <col min="11777" max="11777" width="9" style="326" hidden="1" customWidth="1"/>
    <col min="11778" max="11778" width="8.83333333333333" style="326" customWidth="1"/>
    <col min="11779" max="11779" width="12.3333333333333" style="326" customWidth="1"/>
    <col min="11780" max="11780" width="12" style="326" customWidth="1"/>
    <col min="11781" max="11781" width="8.75" style="326" customWidth="1"/>
    <col min="11782" max="11782" width="12" style="326" customWidth="1"/>
    <col min="11783" max="11783" width="11.25" style="326" customWidth="1"/>
    <col min="11784" max="11784" width="8.75" style="326" customWidth="1"/>
    <col min="11785" max="11785" width="9" style="326"/>
    <col min="11786" max="11789" width="9" style="326" hidden="1" customWidth="1"/>
    <col min="11790" max="11790" width="9.08333333333333" style="326" customWidth="1"/>
    <col min="11791" max="11791" width="9" style="326"/>
    <col min="11792" max="11792" width="9.08333333333333" style="326" customWidth="1"/>
    <col min="11793" max="12028" width="9" style="326"/>
    <col min="12029" max="12029" width="50.75" style="326" customWidth="1"/>
    <col min="12030" max="12030" width="14" style="326" customWidth="1"/>
    <col min="12031" max="12031" width="9" style="326" hidden="1" customWidth="1"/>
    <col min="12032" max="12032" width="12.0833333333333" style="326" customWidth="1"/>
    <col min="12033" max="12033" width="9" style="326" hidden="1" customWidth="1"/>
    <col min="12034" max="12034" width="8.83333333333333" style="326" customWidth="1"/>
    <col min="12035" max="12035" width="12.3333333333333" style="326" customWidth="1"/>
    <col min="12036" max="12036" width="12" style="326" customWidth="1"/>
    <col min="12037" max="12037" width="8.75" style="326" customWidth="1"/>
    <col min="12038" max="12038" width="12" style="326" customWidth="1"/>
    <col min="12039" max="12039" width="11.25" style="326" customWidth="1"/>
    <col min="12040" max="12040" width="8.75" style="326" customWidth="1"/>
    <col min="12041" max="12041" width="9" style="326"/>
    <col min="12042" max="12045" width="9" style="326" hidden="1" customWidth="1"/>
    <col min="12046" max="12046" width="9.08333333333333" style="326" customWidth="1"/>
    <col min="12047" max="12047" width="9" style="326"/>
    <col min="12048" max="12048" width="9.08333333333333" style="326" customWidth="1"/>
    <col min="12049" max="12284" width="9" style="326"/>
    <col min="12285" max="12285" width="50.75" style="326" customWidth="1"/>
    <col min="12286" max="12286" width="14" style="326" customWidth="1"/>
    <col min="12287" max="12287" width="9" style="326" hidden="1" customWidth="1"/>
    <col min="12288" max="12288" width="12.0833333333333" style="326" customWidth="1"/>
    <col min="12289" max="12289" width="9" style="326" hidden="1" customWidth="1"/>
    <col min="12290" max="12290" width="8.83333333333333" style="326" customWidth="1"/>
    <col min="12291" max="12291" width="12.3333333333333" style="326" customWidth="1"/>
    <col min="12292" max="12292" width="12" style="326" customWidth="1"/>
    <col min="12293" max="12293" width="8.75" style="326" customWidth="1"/>
    <col min="12294" max="12294" width="12" style="326" customWidth="1"/>
    <col min="12295" max="12295" width="11.25" style="326" customWidth="1"/>
    <col min="12296" max="12296" width="8.75" style="326" customWidth="1"/>
    <col min="12297" max="12297" width="9" style="326"/>
    <col min="12298" max="12301" width="9" style="326" hidden="1" customWidth="1"/>
    <col min="12302" max="12302" width="9.08333333333333" style="326" customWidth="1"/>
    <col min="12303" max="12303" width="9" style="326"/>
    <col min="12304" max="12304" width="9.08333333333333" style="326" customWidth="1"/>
    <col min="12305" max="12540" width="9" style="326"/>
    <col min="12541" max="12541" width="50.75" style="326" customWidth="1"/>
    <col min="12542" max="12542" width="14" style="326" customWidth="1"/>
    <col min="12543" max="12543" width="9" style="326" hidden="1" customWidth="1"/>
    <col min="12544" max="12544" width="12.0833333333333" style="326" customWidth="1"/>
    <col min="12545" max="12545" width="9" style="326" hidden="1" customWidth="1"/>
    <col min="12546" max="12546" width="8.83333333333333" style="326" customWidth="1"/>
    <col min="12547" max="12547" width="12.3333333333333" style="326" customWidth="1"/>
    <col min="12548" max="12548" width="12" style="326" customWidth="1"/>
    <col min="12549" max="12549" width="8.75" style="326" customWidth="1"/>
    <col min="12550" max="12550" width="12" style="326" customWidth="1"/>
    <col min="12551" max="12551" width="11.25" style="326" customWidth="1"/>
    <col min="12552" max="12552" width="8.75" style="326" customWidth="1"/>
    <col min="12553" max="12553" width="9" style="326"/>
    <col min="12554" max="12557" width="9" style="326" hidden="1" customWidth="1"/>
    <col min="12558" max="12558" width="9.08333333333333" style="326" customWidth="1"/>
    <col min="12559" max="12559" width="9" style="326"/>
    <col min="12560" max="12560" width="9.08333333333333" style="326" customWidth="1"/>
    <col min="12561" max="12796" width="9" style="326"/>
    <col min="12797" max="12797" width="50.75" style="326" customWidth="1"/>
    <col min="12798" max="12798" width="14" style="326" customWidth="1"/>
    <col min="12799" max="12799" width="9" style="326" hidden="1" customWidth="1"/>
    <col min="12800" max="12800" width="12.0833333333333" style="326" customWidth="1"/>
    <col min="12801" max="12801" width="9" style="326" hidden="1" customWidth="1"/>
    <col min="12802" max="12802" width="8.83333333333333" style="326" customWidth="1"/>
    <col min="12803" max="12803" width="12.3333333333333" style="326" customWidth="1"/>
    <col min="12804" max="12804" width="12" style="326" customWidth="1"/>
    <col min="12805" max="12805" width="8.75" style="326" customWidth="1"/>
    <col min="12806" max="12806" width="12" style="326" customWidth="1"/>
    <col min="12807" max="12807" width="11.25" style="326" customWidth="1"/>
    <col min="12808" max="12808" width="8.75" style="326" customWidth="1"/>
    <col min="12809" max="12809" width="9" style="326"/>
    <col min="12810" max="12813" width="9" style="326" hidden="1" customWidth="1"/>
    <col min="12814" max="12814" width="9.08333333333333" style="326" customWidth="1"/>
    <col min="12815" max="12815" width="9" style="326"/>
    <col min="12816" max="12816" width="9.08333333333333" style="326" customWidth="1"/>
    <col min="12817" max="13052" width="9" style="326"/>
    <col min="13053" max="13053" width="50.75" style="326" customWidth="1"/>
    <col min="13054" max="13054" width="14" style="326" customWidth="1"/>
    <col min="13055" max="13055" width="9" style="326" hidden="1" customWidth="1"/>
    <col min="13056" max="13056" width="12.0833333333333" style="326" customWidth="1"/>
    <col min="13057" max="13057" width="9" style="326" hidden="1" customWidth="1"/>
    <col min="13058" max="13058" width="8.83333333333333" style="326" customWidth="1"/>
    <col min="13059" max="13059" width="12.3333333333333" style="326" customWidth="1"/>
    <col min="13060" max="13060" width="12" style="326" customWidth="1"/>
    <col min="13061" max="13061" width="8.75" style="326" customWidth="1"/>
    <col min="13062" max="13062" width="12" style="326" customWidth="1"/>
    <col min="13063" max="13063" width="11.25" style="326" customWidth="1"/>
    <col min="13064" max="13064" width="8.75" style="326" customWidth="1"/>
    <col min="13065" max="13065" width="9" style="326"/>
    <col min="13066" max="13069" width="9" style="326" hidden="1" customWidth="1"/>
    <col min="13070" max="13070" width="9.08333333333333" style="326" customWidth="1"/>
    <col min="13071" max="13071" width="9" style="326"/>
    <col min="13072" max="13072" width="9.08333333333333" style="326" customWidth="1"/>
    <col min="13073" max="13308" width="9" style="326"/>
    <col min="13309" max="13309" width="50.75" style="326" customWidth="1"/>
    <col min="13310" max="13310" width="14" style="326" customWidth="1"/>
    <col min="13311" max="13311" width="9" style="326" hidden="1" customWidth="1"/>
    <col min="13312" max="13312" width="12.0833333333333" style="326" customWidth="1"/>
    <col min="13313" max="13313" width="9" style="326" hidden="1" customWidth="1"/>
    <col min="13314" max="13314" width="8.83333333333333" style="326" customWidth="1"/>
    <col min="13315" max="13315" width="12.3333333333333" style="326" customWidth="1"/>
    <col min="13316" max="13316" width="12" style="326" customWidth="1"/>
    <col min="13317" max="13317" width="8.75" style="326" customWidth="1"/>
    <col min="13318" max="13318" width="12" style="326" customWidth="1"/>
    <col min="13319" max="13319" width="11.25" style="326" customWidth="1"/>
    <col min="13320" max="13320" width="8.75" style="326" customWidth="1"/>
    <col min="13321" max="13321" width="9" style="326"/>
    <col min="13322" max="13325" width="9" style="326" hidden="1" customWidth="1"/>
    <col min="13326" max="13326" width="9.08333333333333" style="326" customWidth="1"/>
    <col min="13327" max="13327" width="9" style="326"/>
    <col min="13328" max="13328" width="9.08333333333333" style="326" customWidth="1"/>
    <col min="13329" max="13564" width="9" style="326"/>
    <col min="13565" max="13565" width="50.75" style="326" customWidth="1"/>
    <col min="13566" max="13566" width="14" style="326" customWidth="1"/>
    <col min="13567" max="13567" width="9" style="326" hidden="1" customWidth="1"/>
    <col min="13568" max="13568" width="12.0833333333333" style="326" customWidth="1"/>
    <col min="13569" max="13569" width="9" style="326" hidden="1" customWidth="1"/>
    <col min="13570" max="13570" width="8.83333333333333" style="326" customWidth="1"/>
    <col min="13571" max="13571" width="12.3333333333333" style="326" customWidth="1"/>
    <col min="13572" max="13572" width="12" style="326" customWidth="1"/>
    <col min="13573" max="13573" width="8.75" style="326" customWidth="1"/>
    <col min="13574" max="13574" width="12" style="326" customWidth="1"/>
    <col min="13575" max="13575" width="11.25" style="326" customWidth="1"/>
    <col min="13576" max="13576" width="8.75" style="326" customWidth="1"/>
    <col min="13577" max="13577" width="9" style="326"/>
    <col min="13578" max="13581" width="9" style="326" hidden="1" customWidth="1"/>
    <col min="13582" max="13582" width="9.08333333333333" style="326" customWidth="1"/>
    <col min="13583" max="13583" width="9" style="326"/>
    <col min="13584" max="13584" width="9.08333333333333" style="326" customWidth="1"/>
    <col min="13585" max="13820" width="9" style="326"/>
    <col min="13821" max="13821" width="50.75" style="326" customWidth="1"/>
    <col min="13822" max="13822" width="14" style="326" customWidth="1"/>
    <col min="13823" max="13823" width="9" style="326" hidden="1" customWidth="1"/>
    <col min="13824" max="13824" width="12.0833333333333" style="326" customWidth="1"/>
    <col min="13825" max="13825" width="9" style="326" hidden="1" customWidth="1"/>
    <col min="13826" max="13826" width="8.83333333333333" style="326" customWidth="1"/>
    <col min="13827" max="13827" width="12.3333333333333" style="326" customWidth="1"/>
    <col min="13828" max="13828" width="12" style="326" customWidth="1"/>
    <col min="13829" max="13829" width="8.75" style="326" customWidth="1"/>
    <col min="13830" max="13830" width="12" style="326" customWidth="1"/>
    <col min="13831" max="13831" width="11.25" style="326" customWidth="1"/>
    <col min="13832" max="13832" width="8.75" style="326" customWidth="1"/>
    <col min="13833" max="13833" width="9" style="326"/>
    <col min="13834" max="13837" width="9" style="326" hidden="1" customWidth="1"/>
    <col min="13838" max="13838" width="9.08333333333333" style="326" customWidth="1"/>
    <col min="13839" max="13839" width="9" style="326"/>
    <col min="13840" max="13840" width="9.08333333333333" style="326" customWidth="1"/>
    <col min="13841" max="14076" width="9" style="326"/>
    <col min="14077" max="14077" width="50.75" style="326" customWidth="1"/>
    <col min="14078" max="14078" width="14" style="326" customWidth="1"/>
    <col min="14079" max="14079" width="9" style="326" hidden="1" customWidth="1"/>
    <col min="14080" max="14080" width="12.0833333333333" style="326" customWidth="1"/>
    <col min="14081" max="14081" width="9" style="326" hidden="1" customWidth="1"/>
    <col min="14082" max="14082" width="8.83333333333333" style="326" customWidth="1"/>
    <col min="14083" max="14083" width="12.3333333333333" style="326" customWidth="1"/>
    <col min="14084" max="14084" width="12" style="326" customWidth="1"/>
    <col min="14085" max="14085" width="8.75" style="326" customWidth="1"/>
    <col min="14086" max="14086" width="12" style="326" customWidth="1"/>
    <col min="14087" max="14087" width="11.25" style="326" customWidth="1"/>
    <col min="14088" max="14088" width="8.75" style="326" customWidth="1"/>
    <col min="14089" max="14089" width="9" style="326"/>
    <col min="14090" max="14093" width="9" style="326" hidden="1" customWidth="1"/>
    <col min="14094" max="14094" width="9.08333333333333" style="326" customWidth="1"/>
    <col min="14095" max="14095" width="9" style="326"/>
    <col min="14096" max="14096" width="9.08333333333333" style="326" customWidth="1"/>
    <col min="14097" max="14332" width="9" style="326"/>
    <col min="14333" max="14333" width="50.75" style="326" customWidth="1"/>
    <col min="14334" max="14334" width="14" style="326" customWidth="1"/>
    <col min="14335" max="14335" width="9" style="326" hidden="1" customWidth="1"/>
    <col min="14336" max="14336" width="12.0833333333333" style="326" customWidth="1"/>
    <col min="14337" max="14337" width="9" style="326" hidden="1" customWidth="1"/>
    <col min="14338" max="14338" width="8.83333333333333" style="326" customWidth="1"/>
    <col min="14339" max="14339" width="12.3333333333333" style="326" customWidth="1"/>
    <col min="14340" max="14340" width="12" style="326" customWidth="1"/>
    <col min="14341" max="14341" width="8.75" style="326" customWidth="1"/>
    <col min="14342" max="14342" width="12" style="326" customWidth="1"/>
    <col min="14343" max="14343" width="11.25" style="326" customWidth="1"/>
    <col min="14344" max="14344" width="8.75" style="326" customWidth="1"/>
    <col min="14345" max="14345" width="9" style="326"/>
    <col min="14346" max="14349" width="9" style="326" hidden="1" customWidth="1"/>
    <col min="14350" max="14350" width="9.08333333333333" style="326" customWidth="1"/>
    <col min="14351" max="14351" width="9" style="326"/>
    <col min="14352" max="14352" width="9.08333333333333" style="326" customWidth="1"/>
    <col min="14353" max="14588" width="9" style="326"/>
    <col min="14589" max="14589" width="50.75" style="326" customWidth="1"/>
    <col min="14590" max="14590" width="14" style="326" customWidth="1"/>
    <col min="14591" max="14591" width="9" style="326" hidden="1" customWidth="1"/>
    <col min="14592" max="14592" width="12.0833333333333" style="326" customWidth="1"/>
    <col min="14593" max="14593" width="9" style="326" hidden="1" customWidth="1"/>
    <col min="14594" max="14594" width="8.83333333333333" style="326" customWidth="1"/>
    <col min="14595" max="14595" width="12.3333333333333" style="326" customWidth="1"/>
    <col min="14596" max="14596" width="12" style="326" customWidth="1"/>
    <col min="14597" max="14597" width="8.75" style="326" customWidth="1"/>
    <col min="14598" max="14598" width="12" style="326" customWidth="1"/>
    <col min="14599" max="14599" width="11.25" style="326" customWidth="1"/>
    <col min="14600" max="14600" width="8.75" style="326" customWidth="1"/>
    <col min="14601" max="14601" width="9" style="326"/>
    <col min="14602" max="14605" width="9" style="326" hidden="1" customWidth="1"/>
    <col min="14606" max="14606" width="9.08333333333333" style="326" customWidth="1"/>
    <col min="14607" max="14607" width="9" style="326"/>
    <col min="14608" max="14608" width="9.08333333333333" style="326" customWidth="1"/>
    <col min="14609" max="14844" width="9" style="326"/>
    <col min="14845" max="14845" width="50.75" style="326" customWidth="1"/>
    <col min="14846" max="14846" width="14" style="326" customWidth="1"/>
    <col min="14847" max="14847" width="9" style="326" hidden="1" customWidth="1"/>
    <col min="14848" max="14848" width="12.0833333333333" style="326" customWidth="1"/>
    <col min="14849" max="14849" width="9" style="326" hidden="1" customWidth="1"/>
    <col min="14850" max="14850" width="8.83333333333333" style="326" customWidth="1"/>
    <col min="14851" max="14851" width="12.3333333333333" style="326" customWidth="1"/>
    <col min="14852" max="14852" width="12" style="326" customWidth="1"/>
    <col min="14853" max="14853" width="8.75" style="326" customWidth="1"/>
    <col min="14854" max="14854" width="12" style="326" customWidth="1"/>
    <col min="14855" max="14855" width="11.25" style="326" customWidth="1"/>
    <col min="14856" max="14856" width="8.75" style="326" customWidth="1"/>
    <col min="14857" max="14857" width="9" style="326"/>
    <col min="14858" max="14861" width="9" style="326" hidden="1" customWidth="1"/>
    <col min="14862" max="14862" width="9.08333333333333" style="326" customWidth="1"/>
    <col min="14863" max="14863" width="9" style="326"/>
    <col min="14864" max="14864" width="9.08333333333333" style="326" customWidth="1"/>
    <col min="14865" max="15100" width="9" style="326"/>
    <col min="15101" max="15101" width="50.75" style="326" customWidth="1"/>
    <col min="15102" max="15102" width="14" style="326" customWidth="1"/>
    <col min="15103" max="15103" width="9" style="326" hidden="1" customWidth="1"/>
    <col min="15104" max="15104" width="12.0833333333333" style="326" customWidth="1"/>
    <col min="15105" max="15105" width="9" style="326" hidden="1" customWidth="1"/>
    <col min="15106" max="15106" width="8.83333333333333" style="326" customWidth="1"/>
    <col min="15107" max="15107" width="12.3333333333333" style="326" customWidth="1"/>
    <col min="15108" max="15108" width="12" style="326" customWidth="1"/>
    <col min="15109" max="15109" width="8.75" style="326" customWidth="1"/>
    <col min="15110" max="15110" width="12" style="326" customWidth="1"/>
    <col min="15111" max="15111" width="11.25" style="326" customWidth="1"/>
    <col min="15112" max="15112" width="8.75" style="326" customWidth="1"/>
    <col min="15113" max="15113" width="9" style="326"/>
    <col min="15114" max="15117" width="9" style="326" hidden="1" customWidth="1"/>
    <col min="15118" max="15118" width="9.08333333333333" style="326" customWidth="1"/>
    <col min="15119" max="15119" width="9" style="326"/>
    <col min="15120" max="15120" width="9.08333333333333" style="326" customWidth="1"/>
    <col min="15121" max="15356" width="9" style="326"/>
    <col min="15357" max="15357" width="50.75" style="326" customWidth="1"/>
    <col min="15358" max="15358" width="14" style="326" customWidth="1"/>
    <col min="15359" max="15359" width="9" style="326" hidden="1" customWidth="1"/>
    <col min="15360" max="15360" width="12.0833333333333" style="326" customWidth="1"/>
    <col min="15361" max="15361" width="9" style="326" hidden="1" customWidth="1"/>
    <col min="15362" max="15362" width="8.83333333333333" style="326" customWidth="1"/>
    <col min="15363" max="15363" width="12.3333333333333" style="326" customWidth="1"/>
    <col min="15364" max="15364" width="12" style="326" customWidth="1"/>
    <col min="15365" max="15365" width="8.75" style="326" customWidth="1"/>
    <col min="15366" max="15366" width="12" style="326" customWidth="1"/>
    <col min="15367" max="15367" width="11.25" style="326" customWidth="1"/>
    <col min="15368" max="15368" width="8.75" style="326" customWidth="1"/>
    <col min="15369" max="15369" width="9" style="326"/>
    <col min="15370" max="15373" width="9" style="326" hidden="1" customWidth="1"/>
    <col min="15374" max="15374" width="9.08333333333333" style="326" customWidth="1"/>
    <col min="15375" max="15375" width="9" style="326"/>
    <col min="15376" max="15376" width="9.08333333333333" style="326" customWidth="1"/>
    <col min="15377" max="15612" width="9" style="326"/>
    <col min="15613" max="15613" width="50.75" style="326" customWidth="1"/>
    <col min="15614" max="15614" width="14" style="326" customWidth="1"/>
    <col min="15615" max="15615" width="9" style="326" hidden="1" customWidth="1"/>
    <col min="15616" max="15616" width="12.0833333333333" style="326" customWidth="1"/>
    <col min="15617" max="15617" width="9" style="326" hidden="1" customWidth="1"/>
    <col min="15618" max="15618" width="8.83333333333333" style="326" customWidth="1"/>
    <col min="15619" max="15619" width="12.3333333333333" style="326" customWidth="1"/>
    <col min="15620" max="15620" width="12" style="326" customWidth="1"/>
    <col min="15621" max="15621" width="8.75" style="326" customWidth="1"/>
    <col min="15622" max="15622" width="12" style="326" customWidth="1"/>
    <col min="15623" max="15623" width="11.25" style="326" customWidth="1"/>
    <col min="15624" max="15624" width="8.75" style="326" customWidth="1"/>
    <col min="15625" max="15625" width="9" style="326"/>
    <col min="15626" max="15629" width="9" style="326" hidden="1" customWidth="1"/>
    <col min="15630" max="15630" width="9.08333333333333" style="326" customWidth="1"/>
    <col min="15631" max="15631" width="9" style="326"/>
    <col min="15632" max="15632" width="9.08333333333333" style="326" customWidth="1"/>
    <col min="15633" max="15868" width="9" style="326"/>
    <col min="15869" max="15869" width="50.75" style="326" customWidth="1"/>
    <col min="15870" max="15870" width="14" style="326" customWidth="1"/>
    <col min="15871" max="15871" width="9" style="326" hidden="1" customWidth="1"/>
    <col min="15872" max="15872" width="12.0833333333333" style="326" customWidth="1"/>
    <col min="15873" max="15873" width="9" style="326" hidden="1" customWidth="1"/>
    <col min="15874" max="15874" width="8.83333333333333" style="326" customWidth="1"/>
    <col min="15875" max="15875" width="12.3333333333333" style="326" customWidth="1"/>
    <col min="15876" max="15876" width="12" style="326" customWidth="1"/>
    <col min="15877" max="15877" width="8.75" style="326" customWidth="1"/>
    <col min="15878" max="15878" width="12" style="326" customWidth="1"/>
    <col min="15879" max="15879" width="11.25" style="326" customWidth="1"/>
    <col min="15880" max="15880" width="8.75" style="326" customWidth="1"/>
    <col min="15881" max="15881" width="9" style="326"/>
    <col min="15882" max="15885" width="9" style="326" hidden="1" customWidth="1"/>
    <col min="15886" max="15886" width="9.08333333333333" style="326" customWidth="1"/>
    <col min="15887" max="15887" width="9" style="326"/>
    <col min="15888" max="15888" width="9.08333333333333" style="326" customWidth="1"/>
    <col min="15889" max="16124" width="9" style="326"/>
    <col min="16125" max="16125" width="50.75" style="326" customWidth="1"/>
    <col min="16126" max="16126" width="14" style="326" customWidth="1"/>
    <col min="16127" max="16127" width="9" style="326" hidden="1" customWidth="1"/>
    <col min="16128" max="16128" width="12.0833333333333" style="326" customWidth="1"/>
    <col min="16129" max="16129" width="9" style="326" hidden="1" customWidth="1"/>
    <col min="16130" max="16130" width="8.83333333333333" style="326" customWidth="1"/>
    <col min="16131" max="16131" width="12.3333333333333" style="326" customWidth="1"/>
    <col min="16132" max="16132" width="12" style="326" customWidth="1"/>
    <col min="16133" max="16133" width="8.75" style="326" customWidth="1"/>
    <col min="16134" max="16134" width="12" style="326" customWidth="1"/>
    <col min="16135" max="16135" width="11.25" style="326" customWidth="1"/>
    <col min="16136" max="16136" width="8.75" style="326" customWidth="1"/>
    <col min="16137" max="16137" width="9" style="326"/>
    <col min="16138" max="16141" width="9" style="326" hidden="1" customWidth="1"/>
    <col min="16142" max="16142" width="9.08333333333333" style="326" customWidth="1"/>
    <col min="16143" max="16143" width="9" style="326"/>
    <col min="16144" max="16144" width="9.08333333333333" style="326" customWidth="1"/>
    <col min="16145" max="16381" width="9" style="326"/>
    <col min="16382" max="16384" width="9" style="332"/>
  </cols>
  <sheetData>
    <row r="1" s="324" customFormat="1" ht="20.25" spans="1:17">
      <c r="A1" s="333" t="s">
        <v>1051</v>
      </c>
      <c r="B1" s="334"/>
      <c r="E1" s="350"/>
      <c r="F1" s="351"/>
      <c r="H1" s="352"/>
      <c r="I1" s="351"/>
      <c r="P1" s="352"/>
      <c r="Q1" s="352"/>
    </row>
    <row r="2" ht="21" spans="1:10">
      <c r="A2" s="335" t="s">
        <v>1052</v>
      </c>
      <c r="B2" s="335"/>
      <c r="C2" s="335"/>
      <c r="D2" s="335"/>
      <c r="E2" s="335"/>
      <c r="F2" s="335"/>
      <c r="G2" s="335"/>
      <c r="H2" s="335"/>
      <c r="I2" s="335"/>
      <c r="J2" s="335"/>
    </row>
    <row r="3" spans="1:17">
      <c r="A3" s="336"/>
      <c r="B3" s="337"/>
      <c r="C3" s="338"/>
      <c r="D3" s="338"/>
      <c r="E3" s="338"/>
      <c r="F3" s="353"/>
      <c r="G3" s="354"/>
      <c r="H3" s="355"/>
      <c r="I3" s="336" t="s">
        <v>33</v>
      </c>
      <c r="J3" s="354"/>
      <c r="P3" s="355"/>
      <c r="Q3" s="355"/>
    </row>
    <row r="4" ht="23.25" customHeight="1" spans="1:18">
      <c r="A4" s="339" t="s">
        <v>34</v>
      </c>
      <c r="B4" s="340" t="s">
        <v>1053</v>
      </c>
      <c r="C4" s="340"/>
      <c r="D4" s="340"/>
      <c r="E4" s="340"/>
      <c r="F4" s="340"/>
      <c r="G4" s="340"/>
      <c r="H4" s="340" t="s">
        <v>36</v>
      </c>
      <c r="I4" s="340"/>
      <c r="J4" s="340"/>
      <c r="P4" s="360"/>
      <c r="Q4" s="360"/>
      <c r="R4" s="338"/>
    </row>
    <row r="5" ht="23.25" customHeight="1" spans="1:18">
      <c r="A5" s="341"/>
      <c r="B5" s="342" t="s">
        <v>37</v>
      </c>
      <c r="C5" s="342" t="s">
        <v>38</v>
      </c>
      <c r="D5" s="342" t="s">
        <v>39</v>
      </c>
      <c r="E5" s="356" t="s">
        <v>151</v>
      </c>
      <c r="F5" s="340" t="s">
        <v>41</v>
      </c>
      <c r="G5" s="340"/>
      <c r="H5" s="342" t="s">
        <v>42</v>
      </c>
      <c r="I5" s="340" t="s">
        <v>152</v>
      </c>
      <c r="J5" s="340"/>
      <c r="P5" s="361"/>
      <c r="Q5" s="361"/>
      <c r="R5" s="338"/>
    </row>
    <row r="6" ht="23.25" customHeight="1" spans="1:18">
      <c r="A6" s="343"/>
      <c r="B6" s="342"/>
      <c r="C6" s="342"/>
      <c r="D6" s="342"/>
      <c r="E6" s="357"/>
      <c r="F6" s="340" t="s">
        <v>44</v>
      </c>
      <c r="G6" s="358" t="s">
        <v>45</v>
      </c>
      <c r="H6" s="342"/>
      <c r="I6" s="359" t="s">
        <v>44</v>
      </c>
      <c r="J6" s="358" t="s">
        <v>45</v>
      </c>
      <c r="P6" s="361"/>
      <c r="Q6" s="361"/>
      <c r="R6" s="338"/>
    </row>
    <row r="7" s="325" customFormat="1" ht="16.5" customHeight="1" spans="1:18">
      <c r="A7" s="344" t="s">
        <v>153</v>
      </c>
      <c r="B7" s="345">
        <f>B8+B20+B29+B39+B50+B61+B72+B80+B89+B90+B99+B110+B111+B118+B119+B125+B132+B139+B146+B153+B160+B168+B174+B180+B187+B222+B202+B209+B216</f>
        <v>74866.9</v>
      </c>
      <c r="C7" s="345">
        <f>C8+C20+C29+C39+C50+C61+C72+C80+C89+C90+C99+C110+C111+C118+C119+C125+C132+C139+C146+C153+C160+C168+C174+C180+C187+C222+C202+C209+C216</f>
        <v>63899.85</v>
      </c>
      <c r="D7" s="346">
        <f>C7/B7*100</f>
        <v>85.3512700539224</v>
      </c>
      <c r="E7" s="345">
        <f>E8+E20+E29+E39+E50+E61+E72+E80+E89+E90+E99+E110+E111+E118+E119+E125+E132+E139+E146+E153+E160+E168+E174+E180+E187+E222+E202+E209+E216</f>
        <v>55670</v>
      </c>
      <c r="F7" s="345">
        <f>C7-E7</f>
        <v>8229.85</v>
      </c>
      <c r="G7" s="346">
        <f>F7/E7*100</f>
        <v>14.7832764505119</v>
      </c>
      <c r="H7" s="345">
        <f>H8+H20+H29+H39+H50+H61+H72+H80+H89+H90+H99+H110+H111+H118+H119+H125+H132+H139+H146+H153+H160+H168+H174+H180+H187+H222+H202+H209+H216</f>
        <v>72650.199184</v>
      </c>
      <c r="I7" s="345">
        <f>H7-B7</f>
        <v>-2216.700816</v>
      </c>
      <c r="J7" s="349">
        <f>I7/B7*100</f>
        <v>-2.96085561977322</v>
      </c>
      <c r="L7" s="325">
        <f>C7+H7</f>
        <v>136550.049184</v>
      </c>
      <c r="P7" s="362"/>
      <c r="Q7" s="362"/>
      <c r="R7" s="364"/>
    </row>
    <row r="8" s="326" customFormat="1" ht="16.5" customHeight="1" spans="1:18">
      <c r="A8" s="347" t="s">
        <v>154</v>
      </c>
      <c r="B8" s="348">
        <v>1738.3</v>
      </c>
      <c r="C8" s="348">
        <v>1737</v>
      </c>
      <c r="D8" s="349">
        <f>C8/B8*100</f>
        <v>99.9252142898234</v>
      </c>
      <c r="E8" s="348">
        <v>1708</v>
      </c>
      <c r="F8" s="345">
        <f>C8-E8</f>
        <v>29</v>
      </c>
      <c r="G8" s="346">
        <f>F8/E8*100</f>
        <v>1.69789227166276</v>
      </c>
      <c r="H8" s="348">
        <f>SUM(H9:H19)</f>
        <v>1482.688482</v>
      </c>
      <c r="I8" s="345">
        <f>H8-B8</f>
        <v>-255.611518</v>
      </c>
      <c r="J8" s="349">
        <f>I8/B8*100</f>
        <v>-14.7046837715009</v>
      </c>
      <c r="K8" s="325"/>
      <c r="L8" s="325">
        <f t="shared" ref="L8:L71" si="0">C8+H8</f>
        <v>3219.688482</v>
      </c>
      <c r="O8" s="325"/>
      <c r="P8" s="363"/>
      <c r="Q8" s="363"/>
      <c r="R8" s="364"/>
    </row>
    <row r="9" ht="16.5" customHeight="1" spans="1:18">
      <c r="A9" s="347" t="s">
        <v>155</v>
      </c>
      <c r="B9" s="348"/>
      <c r="C9" s="348"/>
      <c r="D9" s="349"/>
      <c r="E9" s="348"/>
      <c r="F9" s="345"/>
      <c r="G9" s="346"/>
      <c r="H9" s="348">
        <v>1133.870051</v>
      </c>
      <c r="I9" s="345"/>
      <c r="J9" s="349"/>
      <c r="K9" s="325"/>
      <c r="L9" s="325">
        <f t="shared" si="0"/>
        <v>1133.870051</v>
      </c>
      <c r="O9" s="325"/>
      <c r="P9" s="363"/>
      <c r="Q9" s="363"/>
      <c r="R9" s="364"/>
    </row>
    <row r="10" ht="16.5" customHeight="1" spans="1:18">
      <c r="A10" s="347" t="s">
        <v>156</v>
      </c>
      <c r="B10" s="348"/>
      <c r="C10" s="348"/>
      <c r="D10" s="349"/>
      <c r="E10" s="348"/>
      <c r="F10" s="345"/>
      <c r="G10" s="346"/>
      <c r="H10" s="348">
        <v>216.34</v>
      </c>
      <c r="I10" s="345"/>
      <c r="J10" s="349"/>
      <c r="K10" s="325"/>
      <c r="L10" s="325">
        <f t="shared" si="0"/>
        <v>216.34</v>
      </c>
      <c r="O10" s="325"/>
      <c r="P10" s="363"/>
      <c r="Q10" s="363"/>
      <c r="R10" s="364"/>
    </row>
    <row r="11" ht="16.5" hidden="1" customHeight="1" spans="1:18">
      <c r="A11" s="347" t="s">
        <v>157</v>
      </c>
      <c r="B11" s="348"/>
      <c r="C11" s="348"/>
      <c r="D11" s="349"/>
      <c r="E11" s="348"/>
      <c r="F11" s="345"/>
      <c r="G11" s="346"/>
      <c r="H11" s="348">
        <v>0</v>
      </c>
      <c r="I11" s="345"/>
      <c r="J11" s="349"/>
      <c r="K11" s="325"/>
      <c r="L11" s="325">
        <f t="shared" si="0"/>
        <v>0</v>
      </c>
      <c r="O11" s="325"/>
      <c r="P11" s="363"/>
      <c r="Q11" s="363"/>
      <c r="R11" s="364"/>
    </row>
    <row r="12" ht="16.5" customHeight="1" spans="1:18">
      <c r="A12" s="347" t="s">
        <v>158</v>
      </c>
      <c r="B12" s="348"/>
      <c r="C12" s="348"/>
      <c r="D12" s="349"/>
      <c r="E12" s="348"/>
      <c r="F12" s="345"/>
      <c r="G12" s="346"/>
      <c r="H12" s="348">
        <v>2</v>
      </c>
      <c r="I12" s="345"/>
      <c r="J12" s="349"/>
      <c r="K12" s="325"/>
      <c r="L12" s="325">
        <f t="shared" si="0"/>
        <v>2</v>
      </c>
      <c r="O12" s="325"/>
      <c r="P12" s="363"/>
      <c r="Q12" s="363"/>
      <c r="R12" s="364"/>
    </row>
    <row r="13" ht="16.5" hidden="1" customHeight="1" spans="1:18">
      <c r="A13" s="347" t="s">
        <v>159</v>
      </c>
      <c r="B13" s="348"/>
      <c r="C13" s="348"/>
      <c r="D13" s="349"/>
      <c r="E13" s="348"/>
      <c r="F13" s="345"/>
      <c r="G13" s="346"/>
      <c r="H13" s="348">
        <v>0</v>
      </c>
      <c r="I13" s="345"/>
      <c r="J13" s="349"/>
      <c r="K13" s="325"/>
      <c r="L13" s="325">
        <f t="shared" si="0"/>
        <v>0</v>
      </c>
      <c r="O13" s="325"/>
      <c r="P13" s="363"/>
      <c r="Q13" s="363"/>
      <c r="R13" s="364"/>
    </row>
    <row r="14" ht="16.5" hidden="1" customHeight="1" spans="1:18">
      <c r="A14" s="347" t="s">
        <v>160</v>
      </c>
      <c r="B14" s="348"/>
      <c r="C14" s="348"/>
      <c r="D14" s="349"/>
      <c r="E14" s="348"/>
      <c r="F14" s="345"/>
      <c r="G14" s="346"/>
      <c r="H14" s="348">
        <v>0</v>
      </c>
      <c r="I14" s="345"/>
      <c r="J14" s="349"/>
      <c r="K14" s="325"/>
      <c r="L14" s="325">
        <f t="shared" si="0"/>
        <v>0</v>
      </c>
      <c r="O14" s="325"/>
      <c r="P14" s="363"/>
      <c r="Q14" s="363"/>
      <c r="R14" s="364"/>
    </row>
    <row r="15" ht="16.5" hidden="1" customHeight="1" spans="1:18">
      <c r="A15" s="347" t="s">
        <v>161</v>
      </c>
      <c r="B15" s="348"/>
      <c r="C15" s="348"/>
      <c r="D15" s="349"/>
      <c r="E15" s="348"/>
      <c r="F15" s="345"/>
      <c r="G15" s="346"/>
      <c r="H15" s="348">
        <v>0</v>
      </c>
      <c r="I15" s="345"/>
      <c r="J15" s="349"/>
      <c r="K15" s="325"/>
      <c r="L15" s="325">
        <f t="shared" si="0"/>
        <v>0</v>
      </c>
      <c r="O15" s="325"/>
      <c r="P15" s="363"/>
      <c r="Q15" s="363"/>
      <c r="R15" s="364"/>
    </row>
    <row r="16" ht="16.5" customHeight="1" spans="1:18">
      <c r="A16" s="347" t="s">
        <v>162</v>
      </c>
      <c r="B16" s="348"/>
      <c r="C16" s="348"/>
      <c r="D16" s="349"/>
      <c r="E16" s="348"/>
      <c r="F16" s="345"/>
      <c r="G16" s="346"/>
      <c r="H16" s="348">
        <v>70</v>
      </c>
      <c r="I16" s="345"/>
      <c r="J16" s="349"/>
      <c r="K16" s="325"/>
      <c r="L16" s="325">
        <f t="shared" si="0"/>
        <v>70</v>
      </c>
      <c r="O16" s="325"/>
      <c r="P16" s="363"/>
      <c r="Q16" s="363"/>
      <c r="R16" s="364"/>
    </row>
    <row r="17" ht="16.5" hidden="1" customHeight="1" spans="1:18">
      <c r="A17" s="347" t="s">
        <v>163</v>
      </c>
      <c r="B17" s="348"/>
      <c r="C17" s="348"/>
      <c r="D17" s="349"/>
      <c r="E17" s="348"/>
      <c r="F17" s="345"/>
      <c r="G17" s="346"/>
      <c r="H17" s="348">
        <v>0</v>
      </c>
      <c r="I17" s="345"/>
      <c r="J17" s="349"/>
      <c r="K17" s="325"/>
      <c r="L17" s="325">
        <f t="shared" si="0"/>
        <v>0</v>
      </c>
      <c r="O17" s="325"/>
      <c r="P17" s="363"/>
      <c r="Q17" s="363"/>
      <c r="R17" s="364"/>
    </row>
    <row r="18" ht="16.5" customHeight="1" spans="1:18">
      <c r="A18" s="347" t="s">
        <v>164</v>
      </c>
      <c r="B18" s="348"/>
      <c r="C18" s="348"/>
      <c r="D18" s="349"/>
      <c r="E18" s="348"/>
      <c r="F18" s="345"/>
      <c r="G18" s="346"/>
      <c r="H18" s="348">
        <v>49.478431</v>
      </c>
      <c r="I18" s="345"/>
      <c r="J18" s="349"/>
      <c r="K18" s="325"/>
      <c r="L18" s="325">
        <f t="shared" si="0"/>
        <v>49.478431</v>
      </c>
      <c r="O18" s="325"/>
      <c r="P18" s="363"/>
      <c r="Q18" s="363"/>
      <c r="R18" s="364"/>
    </row>
    <row r="19" ht="16.5" customHeight="1" spans="1:18">
      <c r="A19" s="347" t="s">
        <v>165</v>
      </c>
      <c r="B19" s="348"/>
      <c r="C19" s="348"/>
      <c r="D19" s="349"/>
      <c r="E19" s="348"/>
      <c r="F19" s="345"/>
      <c r="G19" s="346"/>
      <c r="H19" s="348">
        <v>11</v>
      </c>
      <c r="I19" s="345"/>
      <c r="J19" s="349"/>
      <c r="K19" s="325"/>
      <c r="L19" s="325">
        <f t="shared" si="0"/>
        <v>11</v>
      </c>
      <c r="O19" s="325"/>
      <c r="P19" s="363"/>
      <c r="Q19" s="363"/>
      <c r="R19" s="364"/>
    </row>
    <row r="20" s="326" customFormat="1" ht="16.5" customHeight="1" spans="1:18">
      <c r="A20" s="347" t="s">
        <v>166</v>
      </c>
      <c r="B20" s="348">
        <v>1124.3</v>
      </c>
      <c r="C20" s="348">
        <v>1360</v>
      </c>
      <c r="D20" s="349">
        <f>C20/B20*100</f>
        <v>120.964155474517</v>
      </c>
      <c r="E20" s="348">
        <v>1266</v>
      </c>
      <c r="F20" s="345">
        <f>C20-E20</f>
        <v>94</v>
      </c>
      <c r="G20" s="346">
        <f>F20/E20*100</f>
        <v>7.42496050552923</v>
      </c>
      <c r="H20" s="348">
        <f>SUM(H21:H28)</f>
        <v>1366.68842</v>
      </c>
      <c r="I20" s="345">
        <f>H20-B20</f>
        <v>242.38842</v>
      </c>
      <c r="J20" s="349">
        <f>I20/B20*100</f>
        <v>21.5590518544872</v>
      </c>
      <c r="K20" s="325"/>
      <c r="L20" s="325">
        <f t="shared" si="0"/>
        <v>2726.68842</v>
      </c>
      <c r="O20" s="325"/>
      <c r="P20" s="363"/>
      <c r="Q20" s="363"/>
      <c r="R20" s="364"/>
    </row>
    <row r="21" ht="16.5" customHeight="1" spans="1:18">
      <c r="A21" s="347" t="s">
        <v>155</v>
      </c>
      <c r="B21" s="348"/>
      <c r="C21" s="348"/>
      <c r="D21" s="349"/>
      <c r="E21" s="348"/>
      <c r="F21" s="345"/>
      <c r="G21" s="346"/>
      <c r="H21" s="348">
        <v>1044.894795</v>
      </c>
      <c r="I21" s="345"/>
      <c r="J21" s="349"/>
      <c r="K21" s="325"/>
      <c r="L21" s="325">
        <f t="shared" si="0"/>
        <v>1044.894795</v>
      </c>
      <c r="O21" s="325"/>
      <c r="P21" s="363"/>
      <c r="Q21" s="363"/>
      <c r="R21" s="364"/>
    </row>
    <row r="22" ht="16.5" customHeight="1" spans="1:18">
      <c r="A22" s="347" t="s">
        <v>156</v>
      </c>
      <c r="B22" s="348"/>
      <c r="C22" s="348"/>
      <c r="D22" s="349"/>
      <c r="E22" s="348"/>
      <c r="F22" s="345"/>
      <c r="G22" s="346"/>
      <c r="H22" s="348">
        <v>198.09508</v>
      </c>
      <c r="I22" s="345"/>
      <c r="J22" s="349"/>
      <c r="K22" s="325"/>
      <c r="L22" s="325">
        <f t="shared" si="0"/>
        <v>198.09508</v>
      </c>
      <c r="O22" s="325"/>
      <c r="P22" s="363"/>
      <c r="Q22" s="363"/>
      <c r="R22" s="364"/>
    </row>
    <row r="23" ht="16.5" hidden="1" customHeight="1" spans="1:18">
      <c r="A23" s="347" t="s">
        <v>157</v>
      </c>
      <c r="B23" s="348"/>
      <c r="C23" s="348"/>
      <c r="D23" s="349"/>
      <c r="E23" s="348"/>
      <c r="F23" s="345"/>
      <c r="G23" s="346"/>
      <c r="H23" s="348">
        <v>0</v>
      </c>
      <c r="I23" s="345"/>
      <c r="J23" s="349"/>
      <c r="K23" s="325"/>
      <c r="L23" s="325">
        <f t="shared" si="0"/>
        <v>0</v>
      </c>
      <c r="O23" s="325"/>
      <c r="P23" s="363"/>
      <c r="Q23" s="363"/>
      <c r="R23" s="364"/>
    </row>
    <row r="24" ht="16.5" hidden="1" customHeight="1" spans="1:18">
      <c r="A24" s="347" t="s">
        <v>167</v>
      </c>
      <c r="B24" s="348"/>
      <c r="C24" s="348"/>
      <c r="D24" s="349"/>
      <c r="E24" s="348"/>
      <c r="F24" s="345"/>
      <c r="G24" s="346"/>
      <c r="H24" s="348">
        <v>0</v>
      </c>
      <c r="I24" s="345"/>
      <c r="J24" s="349"/>
      <c r="K24" s="325"/>
      <c r="L24" s="325">
        <f t="shared" si="0"/>
        <v>0</v>
      </c>
      <c r="O24" s="325"/>
      <c r="P24" s="363"/>
      <c r="Q24" s="363"/>
      <c r="R24" s="364"/>
    </row>
    <row r="25" ht="16.5" customHeight="1" spans="1:18">
      <c r="A25" s="347" t="s">
        <v>168</v>
      </c>
      <c r="B25" s="348"/>
      <c r="C25" s="348"/>
      <c r="D25" s="349"/>
      <c r="E25" s="348"/>
      <c r="F25" s="345"/>
      <c r="G25" s="346"/>
      <c r="H25" s="348">
        <v>62.52</v>
      </c>
      <c r="I25" s="345"/>
      <c r="J25" s="349"/>
      <c r="K25" s="325"/>
      <c r="L25" s="325">
        <f t="shared" si="0"/>
        <v>62.52</v>
      </c>
      <c r="O25" s="325"/>
      <c r="P25" s="363"/>
      <c r="Q25" s="363"/>
      <c r="R25" s="364"/>
    </row>
    <row r="26" ht="16.5" customHeight="1" spans="1:18">
      <c r="A26" s="347" t="s">
        <v>169</v>
      </c>
      <c r="B26" s="348"/>
      <c r="C26" s="348"/>
      <c r="D26" s="349"/>
      <c r="E26" s="348"/>
      <c r="F26" s="345"/>
      <c r="G26" s="346"/>
      <c r="H26" s="348">
        <v>1</v>
      </c>
      <c r="I26" s="345"/>
      <c r="J26" s="349"/>
      <c r="K26" s="325"/>
      <c r="L26" s="325">
        <f t="shared" si="0"/>
        <v>1</v>
      </c>
      <c r="O26" s="325"/>
      <c r="P26" s="363"/>
      <c r="Q26" s="363"/>
      <c r="R26" s="364"/>
    </row>
    <row r="27" ht="16.5" customHeight="1" spans="1:18">
      <c r="A27" s="347" t="s">
        <v>164</v>
      </c>
      <c r="B27" s="348"/>
      <c r="C27" s="348"/>
      <c r="D27" s="349"/>
      <c r="E27" s="348"/>
      <c r="F27" s="345"/>
      <c r="G27" s="346"/>
      <c r="H27" s="348">
        <v>34.178545</v>
      </c>
      <c r="I27" s="345"/>
      <c r="J27" s="349"/>
      <c r="K27" s="325"/>
      <c r="L27" s="325">
        <f t="shared" si="0"/>
        <v>34.178545</v>
      </c>
      <c r="O27" s="325"/>
      <c r="P27" s="363"/>
      <c r="Q27" s="363"/>
      <c r="R27" s="364"/>
    </row>
    <row r="28" ht="16.5" customHeight="1" spans="1:18">
      <c r="A28" s="347" t="s">
        <v>170</v>
      </c>
      <c r="B28" s="348"/>
      <c r="C28" s="348"/>
      <c r="D28" s="349"/>
      <c r="E28" s="348"/>
      <c r="F28" s="345"/>
      <c r="G28" s="346"/>
      <c r="H28" s="348">
        <v>26</v>
      </c>
      <c r="I28" s="345"/>
      <c r="J28" s="349"/>
      <c r="K28" s="325"/>
      <c r="L28" s="325">
        <f t="shared" si="0"/>
        <v>26</v>
      </c>
      <c r="O28" s="325"/>
      <c r="P28" s="363"/>
      <c r="Q28" s="363"/>
      <c r="R28" s="364"/>
    </row>
    <row r="29" s="326" customFormat="1" ht="16.5" customHeight="1" spans="1:18">
      <c r="A29" s="347" t="s">
        <v>171</v>
      </c>
      <c r="B29" s="348">
        <v>11755.3</v>
      </c>
      <c r="C29" s="348">
        <v>11479</v>
      </c>
      <c r="D29" s="349">
        <f>C29/B29*100</f>
        <v>97.6495708318801</v>
      </c>
      <c r="E29" s="348">
        <v>11754</v>
      </c>
      <c r="F29" s="345">
        <f>C29-E29</f>
        <v>-275</v>
      </c>
      <c r="G29" s="346">
        <f>F29/E29*100</f>
        <v>-2.33962906244683</v>
      </c>
      <c r="H29" s="348">
        <f>SUM(H30:H38)</f>
        <v>12356.186364</v>
      </c>
      <c r="I29" s="345">
        <f>H29-B29</f>
        <v>600.886364</v>
      </c>
      <c r="J29" s="349">
        <f>I29/B29*100</f>
        <v>5.11162083485747</v>
      </c>
      <c r="K29" s="325"/>
      <c r="L29" s="325">
        <f t="shared" si="0"/>
        <v>23835.186364</v>
      </c>
      <c r="O29" s="325"/>
      <c r="P29" s="363"/>
      <c r="Q29" s="363"/>
      <c r="R29" s="364"/>
    </row>
    <row r="30" ht="16.5" customHeight="1" spans="1:18">
      <c r="A30" s="347" t="s">
        <v>155</v>
      </c>
      <c r="B30" s="348"/>
      <c r="C30" s="348"/>
      <c r="D30" s="349"/>
      <c r="E30" s="348"/>
      <c r="F30" s="345"/>
      <c r="G30" s="346"/>
      <c r="H30" s="348">
        <v>5417.710372</v>
      </c>
      <c r="I30" s="345"/>
      <c r="J30" s="349"/>
      <c r="K30" s="325"/>
      <c r="L30" s="325">
        <f t="shared" si="0"/>
        <v>5417.710372</v>
      </c>
      <c r="O30" s="325"/>
      <c r="P30" s="363"/>
      <c r="Q30" s="363"/>
      <c r="R30" s="364"/>
    </row>
    <row r="31" ht="16.5" customHeight="1" spans="1:18">
      <c r="A31" s="347" t="s">
        <v>156</v>
      </c>
      <c r="B31" s="348"/>
      <c r="C31" s="348"/>
      <c r="D31" s="349"/>
      <c r="E31" s="348"/>
      <c r="F31" s="345"/>
      <c r="G31" s="346"/>
      <c r="H31" s="348">
        <v>892.966909</v>
      </c>
      <c r="I31" s="345"/>
      <c r="J31" s="349"/>
      <c r="K31" s="325"/>
      <c r="L31" s="325">
        <f t="shared" si="0"/>
        <v>892.966909</v>
      </c>
      <c r="O31" s="325"/>
      <c r="P31" s="363"/>
      <c r="Q31" s="363"/>
      <c r="R31" s="364"/>
    </row>
    <row r="32" ht="16.5" customHeight="1" spans="1:18">
      <c r="A32" s="347" t="s">
        <v>157</v>
      </c>
      <c r="B32" s="348"/>
      <c r="C32" s="348"/>
      <c r="D32" s="349"/>
      <c r="E32" s="348"/>
      <c r="F32" s="345"/>
      <c r="G32" s="346"/>
      <c r="H32" s="348">
        <v>5617.014683</v>
      </c>
      <c r="I32" s="345"/>
      <c r="J32" s="349"/>
      <c r="K32" s="325"/>
      <c r="L32" s="325">
        <f t="shared" si="0"/>
        <v>5617.014683</v>
      </c>
      <c r="O32" s="325"/>
      <c r="P32" s="363"/>
      <c r="Q32" s="363"/>
      <c r="R32" s="364"/>
    </row>
    <row r="33" ht="16.5" hidden="1" customHeight="1" spans="1:18">
      <c r="A33" s="347" t="s">
        <v>172</v>
      </c>
      <c r="B33" s="348"/>
      <c r="C33" s="348"/>
      <c r="D33" s="349"/>
      <c r="E33" s="348"/>
      <c r="F33" s="345"/>
      <c r="G33" s="346"/>
      <c r="H33" s="348">
        <v>0</v>
      </c>
      <c r="I33" s="345"/>
      <c r="J33" s="349"/>
      <c r="K33" s="325"/>
      <c r="L33" s="325">
        <f t="shared" si="0"/>
        <v>0</v>
      </c>
      <c r="O33" s="325"/>
      <c r="P33" s="363"/>
      <c r="Q33" s="363"/>
      <c r="R33" s="364"/>
    </row>
    <row r="34" ht="16.5" hidden="1" customHeight="1" spans="1:18">
      <c r="A34" s="347" t="s">
        <v>173</v>
      </c>
      <c r="B34" s="348"/>
      <c r="C34" s="348"/>
      <c r="D34" s="349"/>
      <c r="E34" s="348"/>
      <c r="F34" s="345"/>
      <c r="G34" s="346"/>
      <c r="H34" s="348">
        <v>0</v>
      </c>
      <c r="I34" s="345"/>
      <c r="J34" s="349"/>
      <c r="K34" s="325"/>
      <c r="L34" s="325">
        <f t="shared" si="0"/>
        <v>0</v>
      </c>
      <c r="O34" s="325"/>
      <c r="P34" s="363"/>
      <c r="Q34" s="363"/>
      <c r="R34" s="364"/>
    </row>
    <row r="35" ht="16.5" customHeight="1" spans="1:18">
      <c r="A35" s="347" t="s">
        <v>174</v>
      </c>
      <c r="B35" s="348"/>
      <c r="C35" s="348"/>
      <c r="D35" s="349"/>
      <c r="E35" s="348"/>
      <c r="F35" s="345"/>
      <c r="G35" s="346"/>
      <c r="H35" s="348">
        <v>322</v>
      </c>
      <c r="I35" s="345"/>
      <c r="J35" s="349"/>
      <c r="K35" s="325"/>
      <c r="L35" s="325">
        <f t="shared" si="0"/>
        <v>322</v>
      </c>
      <c r="O35" s="325"/>
      <c r="P35" s="363"/>
      <c r="Q35" s="363"/>
      <c r="R35" s="364"/>
    </row>
    <row r="36" ht="16.5" hidden="1" customHeight="1" spans="1:18">
      <c r="A36" s="347" t="s">
        <v>175</v>
      </c>
      <c r="B36" s="348"/>
      <c r="C36" s="348"/>
      <c r="D36" s="349"/>
      <c r="E36" s="348"/>
      <c r="F36" s="345"/>
      <c r="G36" s="346"/>
      <c r="H36" s="348">
        <v>0</v>
      </c>
      <c r="I36" s="345"/>
      <c r="J36" s="349"/>
      <c r="K36" s="325"/>
      <c r="L36" s="325">
        <f t="shared" si="0"/>
        <v>0</v>
      </c>
      <c r="O36" s="325"/>
      <c r="P36" s="363"/>
      <c r="Q36" s="363"/>
      <c r="R36" s="364"/>
    </row>
    <row r="37" ht="16.5" customHeight="1" spans="1:18">
      <c r="A37" s="347" t="s">
        <v>164</v>
      </c>
      <c r="B37" s="348"/>
      <c r="C37" s="348"/>
      <c r="D37" s="349"/>
      <c r="E37" s="348"/>
      <c r="F37" s="345"/>
      <c r="G37" s="346"/>
      <c r="H37" s="348">
        <v>36.4944</v>
      </c>
      <c r="I37" s="345"/>
      <c r="J37" s="349"/>
      <c r="K37" s="325"/>
      <c r="L37" s="325">
        <f t="shared" si="0"/>
        <v>36.4944</v>
      </c>
      <c r="O37" s="325"/>
      <c r="P37" s="363"/>
      <c r="Q37" s="363"/>
      <c r="R37" s="364"/>
    </row>
    <row r="38" ht="16.5" customHeight="1" spans="1:18">
      <c r="A38" s="347" t="s">
        <v>176</v>
      </c>
      <c r="B38" s="348"/>
      <c r="C38" s="348"/>
      <c r="D38" s="349"/>
      <c r="E38" s="348"/>
      <c r="F38" s="345"/>
      <c r="G38" s="346"/>
      <c r="H38" s="348">
        <v>70</v>
      </c>
      <c r="I38" s="345"/>
      <c r="J38" s="349"/>
      <c r="K38" s="325"/>
      <c r="L38" s="325">
        <f t="shared" si="0"/>
        <v>70</v>
      </c>
      <c r="O38" s="325"/>
      <c r="P38" s="363"/>
      <c r="Q38" s="363"/>
      <c r="R38" s="364"/>
    </row>
    <row r="39" s="326" customFormat="1" ht="16.5" customHeight="1" spans="1:18">
      <c r="A39" s="347" t="s">
        <v>177</v>
      </c>
      <c r="B39" s="348">
        <v>2037</v>
      </c>
      <c r="C39" s="348">
        <v>13423</v>
      </c>
      <c r="D39" s="349">
        <f>C39/B39*100</f>
        <v>658.959253804615</v>
      </c>
      <c r="E39" s="348">
        <v>4971</v>
      </c>
      <c r="F39" s="345">
        <f>C39-E39</f>
        <v>8452</v>
      </c>
      <c r="G39" s="346">
        <f>F39/E39*100</f>
        <v>170.026151679742</v>
      </c>
      <c r="H39" s="348">
        <f>SUM(H40:H49)</f>
        <v>5738.014637</v>
      </c>
      <c r="I39" s="345">
        <f>H39-B39</f>
        <v>3701.014637</v>
      </c>
      <c r="J39" s="349">
        <f>I39/B39*100</f>
        <v>181.689476534119</v>
      </c>
      <c r="K39" s="325"/>
      <c r="L39" s="325">
        <f t="shared" si="0"/>
        <v>19161.014637</v>
      </c>
      <c r="O39" s="325"/>
      <c r="P39" s="363"/>
      <c r="Q39" s="363"/>
      <c r="R39" s="364"/>
    </row>
    <row r="40" ht="16.5" customHeight="1" spans="1:18">
      <c r="A40" s="347" t="s">
        <v>155</v>
      </c>
      <c r="B40" s="348"/>
      <c r="C40" s="348"/>
      <c r="D40" s="349"/>
      <c r="E40" s="348"/>
      <c r="F40" s="345"/>
      <c r="G40" s="346"/>
      <c r="H40" s="348">
        <v>1648.835227</v>
      </c>
      <c r="I40" s="345"/>
      <c r="J40" s="349"/>
      <c r="K40" s="325"/>
      <c r="L40" s="325">
        <f t="shared" si="0"/>
        <v>1648.835227</v>
      </c>
      <c r="O40" s="325"/>
      <c r="P40" s="363"/>
      <c r="Q40" s="363"/>
      <c r="R40" s="364"/>
    </row>
    <row r="41" ht="16.5" customHeight="1" spans="1:18">
      <c r="A41" s="347" t="s">
        <v>156</v>
      </c>
      <c r="B41" s="348"/>
      <c r="C41" s="348"/>
      <c r="D41" s="349"/>
      <c r="E41" s="348"/>
      <c r="F41" s="345"/>
      <c r="G41" s="346"/>
      <c r="H41" s="348">
        <v>26.78</v>
      </c>
      <c r="I41" s="345"/>
      <c r="J41" s="349"/>
      <c r="K41" s="325"/>
      <c r="L41" s="325">
        <f t="shared" si="0"/>
        <v>26.78</v>
      </c>
      <c r="O41" s="325"/>
      <c r="P41" s="363"/>
      <c r="Q41" s="363"/>
      <c r="R41" s="364"/>
    </row>
    <row r="42" ht="16.5" hidden="1" customHeight="1" spans="1:18">
      <c r="A42" s="347" t="s">
        <v>157</v>
      </c>
      <c r="B42" s="348"/>
      <c r="C42" s="348"/>
      <c r="D42" s="349"/>
      <c r="E42" s="348"/>
      <c r="F42" s="345"/>
      <c r="G42" s="346"/>
      <c r="H42" s="348">
        <v>0</v>
      </c>
      <c r="I42" s="345"/>
      <c r="J42" s="349"/>
      <c r="K42" s="325"/>
      <c r="L42" s="325">
        <f t="shared" si="0"/>
        <v>0</v>
      </c>
      <c r="O42" s="325"/>
      <c r="P42" s="363"/>
      <c r="Q42" s="363"/>
      <c r="R42" s="364"/>
    </row>
    <row r="43" ht="16.5" hidden="1" customHeight="1" spans="1:18">
      <c r="A43" s="347" t="s">
        <v>178</v>
      </c>
      <c r="B43" s="348"/>
      <c r="C43" s="348"/>
      <c r="D43" s="349"/>
      <c r="E43" s="348"/>
      <c r="F43" s="345"/>
      <c r="G43" s="346"/>
      <c r="H43" s="348">
        <v>0</v>
      </c>
      <c r="I43" s="345"/>
      <c r="J43" s="349"/>
      <c r="K43" s="325"/>
      <c r="L43" s="325">
        <f t="shared" si="0"/>
        <v>0</v>
      </c>
      <c r="O43" s="325"/>
      <c r="P43" s="363"/>
      <c r="Q43" s="363"/>
      <c r="R43" s="364"/>
    </row>
    <row r="44" ht="16.5" hidden="1" customHeight="1" spans="1:18">
      <c r="A44" s="347" t="s">
        <v>179</v>
      </c>
      <c r="B44" s="348"/>
      <c r="C44" s="348"/>
      <c r="D44" s="349"/>
      <c r="E44" s="348"/>
      <c r="F44" s="345"/>
      <c r="G44" s="346"/>
      <c r="H44" s="348">
        <v>0</v>
      </c>
      <c r="I44" s="345"/>
      <c r="J44" s="349"/>
      <c r="K44" s="325"/>
      <c r="L44" s="325">
        <f t="shared" si="0"/>
        <v>0</v>
      </c>
      <c r="O44" s="325"/>
      <c r="P44" s="363"/>
      <c r="Q44" s="363"/>
      <c r="R44" s="364"/>
    </row>
    <row r="45" ht="16.5" hidden="1" customHeight="1" spans="1:18">
      <c r="A45" s="347" t="s">
        <v>180</v>
      </c>
      <c r="B45" s="348"/>
      <c r="C45" s="348"/>
      <c r="D45" s="349"/>
      <c r="E45" s="348"/>
      <c r="F45" s="345"/>
      <c r="G45" s="346"/>
      <c r="H45" s="348">
        <v>0</v>
      </c>
      <c r="I45" s="345"/>
      <c r="J45" s="349"/>
      <c r="K45" s="325"/>
      <c r="L45" s="325">
        <f t="shared" si="0"/>
        <v>0</v>
      </c>
      <c r="O45" s="325"/>
      <c r="P45" s="363"/>
      <c r="Q45" s="363"/>
      <c r="R45" s="364"/>
    </row>
    <row r="46" ht="16.5" hidden="1" customHeight="1" spans="1:18">
      <c r="A46" s="347" t="s">
        <v>181</v>
      </c>
      <c r="B46" s="348"/>
      <c r="C46" s="348"/>
      <c r="D46" s="349"/>
      <c r="E46" s="348"/>
      <c r="F46" s="345"/>
      <c r="G46" s="346"/>
      <c r="H46" s="348">
        <v>0</v>
      </c>
      <c r="I46" s="345"/>
      <c r="J46" s="349"/>
      <c r="K46" s="325"/>
      <c r="L46" s="325">
        <f t="shared" si="0"/>
        <v>0</v>
      </c>
      <c r="O46" s="325"/>
      <c r="P46" s="363"/>
      <c r="Q46" s="363"/>
      <c r="R46" s="364"/>
    </row>
    <row r="47" ht="16.5" hidden="1" customHeight="1" spans="1:18">
      <c r="A47" s="347" t="s">
        <v>182</v>
      </c>
      <c r="B47" s="348"/>
      <c r="C47" s="348"/>
      <c r="D47" s="349"/>
      <c r="E47" s="348"/>
      <c r="F47" s="345"/>
      <c r="G47" s="346"/>
      <c r="H47" s="348">
        <v>0</v>
      </c>
      <c r="I47" s="345"/>
      <c r="J47" s="349"/>
      <c r="K47" s="325"/>
      <c r="L47" s="325">
        <f t="shared" si="0"/>
        <v>0</v>
      </c>
      <c r="O47" s="325"/>
      <c r="P47" s="363"/>
      <c r="Q47" s="363"/>
      <c r="R47" s="364"/>
    </row>
    <row r="48" ht="16.5" customHeight="1" spans="1:18">
      <c r="A48" s="347" t="s">
        <v>164</v>
      </c>
      <c r="B48" s="348"/>
      <c r="C48" s="348"/>
      <c r="D48" s="349"/>
      <c r="E48" s="348"/>
      <c r="F48" s="345"/>
      <c r="G48" s="346"/>
      <c r="H48" s="348">
        <v>256.18941</v>
      </c>
      <c r="I48" s="345"/>
      <c r="J48" s="349"/>
      <c r="K48" s="325"/>
      <c r="L48" s="325">
        <f t="shared" si="0"/>
        <v>256.18941</v>
      </c>
      <c r="O48" s="325"/>
      <c r="P48" s="363"/>
      <c r="Q48" s="363"/>
      <c r="R48" s="364"/>
    </row>
    <row r="49" ht="16.5" customHeight="1" spans="1:18">
      <c r="A49" s="347" t="s">
        <v>183</v>
      </c>
      <c r="B49" s="348"/>
      <c r="C49" s="348"/>
      <c r="D49" s="349"/>
      <c r="E49" s="348"/>
      <c r="F49" s="345"/>
      <c r="G49" s="346"/>
      <c r="H49" s="348">
        <v>3806.21</v>
      </c>
      <c r="I49" s="345"/>
      <c r="J49" s="349"/>
      <c r="K49" s="325"/>
      <c r="L49" s="325">
        <f t="shared" si="0"/>
        <v>3806.21</v>
      </c>
      <c r="O49" s="325"/>
      <c r="P49" s="363"/>
      <c r="Q49" s="363"/>
      <c r="R49" s="364"/>
    </row>
    <row r="50" s="326" customFormat="1" ht="16.5" customHeight="1" spans="1:18">
      <c r="A50" s="347" t="s">
        <v>184</v>
      </c>
      <c r="B50" s="348">
        <v>782</v>
      </c>
      <c r="C50" s="348">
        <v>981</v>
      </c>
      <c r="D50" s="349">
        <f>C50/B50*100</f>
        <v>125.447570332481</v>
      </c>
      <c r="E50" s="348">
        <v>959</v>
      </c>
      <c r="F50" s="345">
        <f>C50-E50</f>
        <v>22</v>
      </c>
      <c r="G50" s="346">
        <f>F50/E50*100</f>
        <v>2.29405630865485</v>
      </c>
      <c r="H50" s="348">
        <f>SUM(H51:H60)</f>
        <v>645.529442</v>
      </c>
      <c r="I50" s="345">
        <f>H50-B50</f>
        <v>-136.470558</v>
      </c>
      <c r="J50" s="349">
        <f>I50/B50*100</f>
        <v>-17.4514780051151</v>
      </c>
      <c r="K50" s="325"/>
      <c r="L50" s="325">
        <f t="shared" si="0"/>
        <v>1626.529442</v>
      </c>
      <c r="O50" s="325"/>
      <c r="P50" s="363"/>
      <c r="Q50" s="363"/>
      <c r="R50" s="364"/>
    </row>
    <row r="51" ht="16.5" customHeight="1" spans="1:18">
      <c r="A51" s="347" t="s">
        <v>155</v>
      </c>
      <c r="B51" s="348"/>
      <c r="C51" s="348"/>
      <c r="D51" s="349"/>
      <c r="E51" s="348"/>
      <c r="F51" s="345"/>
      <c r="G51" s="346"/>
      <c r="H51" s="348">
        <v>400.782062</v>
      </c>
      <c r="I51" s="345"/>
      <c r="J51" s="349"/>
      <c r="K51" s="325"/>
      <c r="L51" s="325">
        <f t="shared" si="0"/>
        <v>400.782062</v>
      </c>
      <c r="O51" s="325"/>
      <c r="P51" s="363"/>
      <c r="Q51" s="363"/>
      <c r="R51" s="364"/>
    </row>
    <row r="52" ht="16.5" customHeight="1" spans="1:18">
      <c r="A52" s="347" t="s">
        <v>156</v>
      </c>
      <c r="B52" s="348"/>
      <c r="C52" s="348"/>
      <c r="D52" s="349"/>
      <c r="E52" s="348"/>
      <c r="F52" s="345"/>
      <c r="G52" s="346"/>
      <c r="H52" s="348">
        <v>117.4</v>
      </c>
      <c r="I52" s="345"/>
      <c r="J52" s="349"/>
      <c r="K52" s="325"/>
      <c r="L52" s="325">
        <f t="shared" si="0"/>
        <v>117.4</v>
      </c>
      <c r="O52" s="325"/>
      <c r="P52" s="363"/>
      <c r="Q52" s="363"/>
      <c r="R52" s="364"/>
    </row>
    <row r="53" ht="16.5" hidden="1" customHeight="1" spans="1:18">
      <c r="A53" s="347" t="s">
        <v>157</v>
      </c>
      <c r="B53" s="348"/>
      <c r="C53" s="348"/>
      <c r="D53" s="349"/>
      <c r="E53" s="348"/>
      <c r="F53" s="345"/>
      <c r="G53" s="346"/>
      <c r="H53" s="348">
        <v>0</v>
      </c>
      <c r="I53" s="345"/>
      <c r="J53" s="349"/>
      <c r="K53" s="325"/>
      <c r="L53" s="325">
        <f t="shared" si="0"/>
        <v>0</v>
      </c>
      <c r="O53" s="325"/>
      <c r="P53" s="363"/>
      <c r="Q53" s="363"/>
      <c r="R53" s="364"/>
    </row>
    <row r="54" ht="16.5" hidden="1" customHeight="1" spans="1:18">
      <c r="A54" s="347" t="s">
        <v>185</v>
      </c>
      <c r="B54" s="348"/>
      <c r="C54" s="348"/>
      <c r="D54" s="349"/>
      <c r="E54" s="348"/>
      <c r="F54" s="345"/>
      <c r="G54" s="346"/>
      <c r="H54" s="348">
        <v>0</v>
      </c>
      <c r="I54" s="345"/>
      <c r="J54" s="349"/>
      <c r="K54" s="325"/>
      <c r="L54" s="325">
        <f t="shared" si="0"/>
        <v>0</v>
      </c>
      <c r="O54" s="325"/>
      <c r="P54" s="363"/>
      <c r="Q54" s="363"/>
      <c r="R54" s="364"/>
    </row>
    <row r="55" ht="16.5" customHeight="1" spans="1:18">
      <c r="A55" s="347" t="s">
        <v>186</v>
      </c>
      <c r="B55" s="348"/>
      <c r="C55" s="348"/>
      <c r="D55" s="349"/>
      <c r="E55" s="348"/>
      <c r="F55" s="345"/>
      <c r="G55" s="346"/>
      <c r="H55" s="348">
        <v>65</v>
      </c>
      <c r="I55" s="345"/>
      <c r="J55" s="349"/>
      <c r="K55" s="325"/>
      <c r="L55" s="325">
        <f t="shared" si="0"/>
        <v>65</v>
      </c>
      <c r="O55" s="325"/>
      <c r="P55" s="363"/>
      <c r="Q55" s="363"/>
      <c r="R55" s="364"/>
    </row>
    <row r="56" ht="16.5" hidden="1" customHeight="1" spans="1:18">
      <c r="A56" s="347" t="s">
        <v>187</v>
      </c>
      <c r="B56" s="348"/>
      <c r="C56" s="348"/>
      <c r="D56" s="349"/>
      <c r="E56" s="348"/>
      <c r="F56" s="345"/>
      <c r="G56" s="346"/>
      <c r="H56" s="348">
        <v>0</v>
      </c>
      <c r="I56" s="345"/>
      <c r="J56" s="349"/>
      <c r="K56" s="325"/>
      <c r="L56" s="325">
        <f t="shared" si="0"/>
        <v>0</v>
      </c>
      <c r="O56" s="325"/>
      <c r="P56" s="363"/>
      <c r="Q56" s="363"/>
      <c r="R56" s="364"/>
    </row>
    <row r="57" ht="16.5" hidden="1" customHeight="1" spans="1:18">
      <c r="A57" s="347" t="s">
        <v>188</v>
      </c>
      <c r="B57" s="348"/>
      <c r="C57" s="348"/>
      <c r="D57" s="349"/>
      <c r="E57" s="348"/>
      <c r="F57" s="345"/>
      <c r="G57" s="346"/>
      <c r="H57" s="348">
        <v>0</v>
      </c>
      <c r="I57" s="345"/>
      <c r="J57" s="349"/>
      <c r="K57" s="325"/>
      <c r="L57" s="325">
        <f t="shared" si="0"/>
        <v>0</v>
      </c>
      <c r="O57" s="325"/>
      <c r="P57" s="363"/>
      <c r="Q57" s="363"/>
      <c r="R57" s="364"/>
    </row>
    <row r="58" ht="16.5" hidden="1" customHeight="1" spans="1:18">
      <c r="A58" s="347" t="s">
        <v>189</v>
      </c>
      <c r="B58" s="348"/>
      <c r="C58" s="348"/>
      <c r="D58" s="349"/>
      <c r="E58" s="348"/>
      <c r="F58" s="345"/>
      <c r="G58" s="346"/>
      <c r="H58" s="348">
        <v>0</v>
      </c>
      <c r="I58" s="345"/>
      <c r="J58" s="349"/>
      <c r="K58" s="325"/>
      <c r="L58" s="325">
        <f t="shared" si="0"/>
        <v>0</v>
      </c>
      <c r="O58" s="325"/>
      <c r="P58" s="363"/>
      <c r="Q58" s="363"/>
      <c r="R58" s="364"/>
    </row>
    <row r="59" ht="16.5" customHeight="1" spans="1:18">
      <c r="A59" s="347" t="s">
        <v>164</v>
      </c>
      <c r="B59" s="348"/>
      <c r="C59" s="348"/>
      <c r="D59" s="349"/>
      <c r="E59" s="348"/>
      <c r="F59" s="345"/>
      <c r="G59" s="346"/>
      <c r="H59" s="348">
        <v>62.34738</v>
      </c>
      <c r="I59" s="345"/>
      <c r="J59" s="349"/>
      <c r="K59" s="325"/>
      <c r="L59" s="325">
        <f t="shared" si="0"/>
        <v>62.34738</v>
      </c>
      <c r="O59" s="325"/>
      <c r="P59" s="363"/>
      <c r="Q59" s="363"/>
      <c r="R59" s="364"/>
    </row>
    <row r="60" ht="16.5" hidden="1" customHeight="1" spans="1:18">
      <c r="A60" s="347" t="s">
        <v>190</v>
      </c>
      <c r="B60" s="348"/>
      <c r="C60" s="348"/>
      <c r="D60" s="349"/>
      <c r="E60" s="348"/>
      <c r="F60" s="345"/>
      <c r="G60" s="346"/>
      <c r="H60" s="348">
        <v>0</v>
      </c>
      <c r="I60" s="345"/>
      <c r="J60" s="349"/>
      <c r="K60" s="325"/>
      <c r="L60" s="325">
        <f t="shared" si="0"/>
        <v>0</v>
      </c>
      <c r="O60" s="325"/>
      <c r="P60" s="363"/>
      <c r="Q60" s="363"/>
      <c r="R60" s="364"/>
    </row>
    <row r="61" s="326" customFormat="1" ht="16.5" customHeight="1" spans="1:18">
      <c r="A61" s="347" t="s">
        <v>191</v>
      </c>
      <c r="B61" s="348">
        <v>2724</v>
      </c>
      <c r="C61" s="348">
        <v>3084</v>
      </c>
      <c r="D61" s="349">
        <f>C61/B61*100</f>
        <v>113.215859030837</v>
      </c>
      <c r="E61" s="348">
        <v>3155</v>
      </c>
      <c r="F61" s="345">
        <f>C61-E61</f>
        <v>-71</v>
      </c>
      <c r="G61" s="346">
        <f>F61/E61*100</f>
        <v>-2.25039619651347</v>
      </c>
      <c r="H61" s="348">
        <f>SUM(H62:H71)</f>
        <v>2578.059827</v>
      </c>
      <c r="I61" s="345">
        <f>H61-B61</f>
        <v>-145.940173</v>
      </c>
      <c r="J61" s="349">
        <f>I61/B61*100</f>
        <v>-5.35756875917768</v>
      </c>
      <c r="K61" s="325"/>
      <c r="L61" s="325">
        <f t="shared" si="0"/>
        <v>5662.059827</v>
      </c>
      <c r="O61" s="325"/>
      <c r="P61" s="363"/>
      <c r="Q61" s="363"/>
      <c r="R61" s="364"/>
    </row>
    <row r="62" ht="16.5" customHeight="1" spans="1:18">
      <c r="A62" s="347" t="s">
        <v>155</v>
      </c>
      <c r="B62" s="348"/>
      <c r="C62" s="348"/>
      <c r="D62" s="349"/>
      <c r="E62" s="348"/>
      <c r="F62" s="345"/>
      <c r="G62" s="346"/>
      <c r="H62" s="348">
        <v>1060.212216</v>
      </c>
      <c r="I62" s="345"/>
      <c r="J62" s="349"/>
      <c r="K62" s="325"/>
      <c r="L62" s="325">
        <f t="shared" si="0"/>
        <v>1060.212216</v>
      </c>
      <c r="O62" s="325"/>
      <c r="P62" s="363"/>
      <c r="Q62" s="363"/>
      <c r="R62" s="364"/>
    </row>
    <row r="63" ht="16.5" customHeight="1" spans="1:18">
      <c r="A63" s="347" t="s">
        <v>156</v>
      </c>
      <c r="B63" s="348"/>
      <c r="C63" s="348"/>
      <c r="D63" s="349"/>
      <c r="E63" s="348"/>
      <c r="F63" s="345"/>
      <c r="G63" s="346"/>
      <c r="H63" s="348">
        <v>383.322295</v>
      </c>
      <c r="I63" s="345"/>
      <c r="J63" s="349"/>
      <c r="K63" s="325"/>
      <c r="L63" s="325">
        <f t="shared" si="0"/>
        <v>383.322295</v>
      </c>
      <c r="O63" s="325"/>
      <c r="P63" s="363"/>
      <c r="Q63" s="363"/>
      <c r="R63" s="364"/>
    </row>
    <row r="64" ht="16.5" hidden="1" customHeight="1" spans="1:18">
      <c r="A64" s="347" t="s">
        <v>157</v>
      </c>
      <c r="B64" s="348"/>
      <c r="C64" s="348"/>
      <c r="D64" s="349"/>
      <c r="E64" s="348"/>
      <c r="F64" s="345"/>
      <c r="G64" s="346"/>
      <c r="H64" s="348">
        <v>0</v>
      </c>
      <c r="I64" s="345"/>
      <c r="J64" s="349"/>
      <c r="K64" s="325"/>
      <c r="L64" s="325">
        <f t="shared" si="0"/>
        <v>0</v>
      </c>
      <c r="O64" s="325"/>
      <c r="P64" s="363"/>
      <c r="Q64" s="363"/>
      <c r="R64" s="364"/>
    </row>
    <row r="65" ht="16.5" hidden="1" customHeight="1" spans="1:18">
      <c r="A65" s="347" t="s">
        <v>192</v>
      </c>
      <c r="B65" s="348"/>
      <c r="C65" s="348"/>
      <c r="D65" s="349"/>
      <c r="E65" s="348"/>
      <c r="F65" s="345"/>
      <c r="G65" s="346"/>
      <c r="H65" s="348">
        <v>0</v>
      </c>
      <c r="I65" s="345"/>
      <c r="J65" s="349"/>
      <c r="K65" s="325"/>
      <c r="L65" s="325">
        <f t="shared" si="0"/>
        <v>0</v>
      </c>
      <c r="O65" s="325"/>
      <c r="P65" s="363"/>
      <c r="Q65" s="363"/>
      <c r="R65" s="364"/>
    </row>
    <row r="66" ht="16.5" hidden="1" customHeight="1" spans="1:18">
      <c r="A66" s="347" t="s">
        <v>193</v>
      </c>
      <c r="B66" s="348"/>
      <c r="C66" s="348"/>
      <c r="D66" s="349"/>
      <c r="E66" s="348"/>
      <c r="F66" s="345"/>
      <c r="G66" s="346"/>
      <c r="H66" s="348">
        <v>0</v>
      </c>
      <c r="I66" s="345"/>
      <c r="J66" s="349"/>
      <c r="K66" s="325"/>
      <c r="L66" s="325">
        <f t="shared" si="0"/>
        <v>0</v>
      </c>
      <c r="O66" s="325"/>
      <c r="P66" s="363"/>
      <c r="Q66" s="363"/>
      <c r="R66" s="364"/>
    </row>
    <row r="67" ht="16.5" hidden="1" customHeight="1" spans="1:18">
      <c r="A67" s="347" t="s">
        <v>194</v>
      </c>
      <c r="B67" s="348"/>
      <c r="C67" s="348"/>
      <c r="D67" s="349"/>
      <c r="E67" s="348"/>
      <c r="F67" s="345"/>
      <c r="G67" s="346"/>
      <c r="H67" s="348">
        <v>0</v>
      </c>
      <c r="I67" s="345"/>
      <c r="J67" s="349"/>
      <c r="K67" s="325"/>
      <c r="L67" s="325">
        <f t="shared" si="0"/>
        <v>0</v>
      </c>
      <c r="O67" s="325"/>
      <c r="P67" s="363"/>
      <c r="Q67" s="363"/>
      <c r="R67" s="364"/>
    </row>
    <row r="68" ht="16.5" customHeight="1" spans="1:18">
      <c r="A68" s="347" t="s">
        <v>195</v>
      </c>
      <c r="B68" s="348"/>
      <c r="C68" s="348"/>
      <c r="D68" s="349"/>
      <c r="E68" s="348"/>
      <c r="F68" s="345"/>
      <c r="G68" s="346"/>
      <c r="H68" s="348">
        <v>30</v>
      </c>
      <c r="I68" s="345"/>
      <c r="J68" s="349"/>
      <c r="K68" s="325"/>
      <c r="L68" s="325">
        <f t="shared" si="0"/>
        <v>30</v>
      </c>
      <c r="O68" s="325"/>
      <c r="P68" s="363"/>
      <c r="Q68" s="363"/>
      <c r="R68" s="364"/>
    </row>
    <row r="69" ht="16.5" customHeight="1" spans="1:18">
      <c r="A69" s="347" t="s">
        <v>196</v>
      </c>
      <c r="B69" s="348"/>
      <c r="C69" s="348"/>
      <c r="D69" s="349"/>
      <c r="E69" s="348"/>
      <c r="F69" s="345"/>
      <c r="G69" s="346"/>
      <c r="H69" s="348">
        <v>184</v>
      </c>
      <c r="I69" s="345"/>
      <c r="J69" s="349"/>
      <c r="K69" s="325"/>
      <c r="L69" s="325">
        <f t="shared" si="0"/>
        <v>184</v>
      </c>
      <c r="O69" s="325"/>
      <c r="P69" s="363"/>
      <c r="Q69" s="363"/>
      <c r="R69" s="364"/>
    </row>
    <row r="70" ht="16.5" customHeight="1" spans="1:18">
      <c r="A70" s="347" t="s">
        <v>164</v>
      </c>
      <c r="B70" s="348"/>
      <c r="C70" s="348"/>
      <c r="D70" s="349"/>
      <c r="E70" s="348"/>
      <c r="F70" s="345"/>
      <c r="G70" s="346"/>
      <c r="H70" s="348">
        <v>899.525316</v>
      </c>
      <c r="I70" s="345"/>
      <c r="J70" s="349"/>
      <c r="K70" s="325"/>
      <c r="L70" s="325">
        <f t="shared" si="0"/>
        <v>899.525316</v>
      </c>
      <c r="O70" s="325"/>
      <c r="P70" s="363"/>
      <c r="Q70" s="363"/>
      <c r="R70" s="364"/>
    </row>
    <row r="71" ht="16.5" customHeight="1" spans="1:18">
      <c r="A71" s="347" t="s">
        <v>197</v>
      </c>
      <c r="B71" s="348"/>
      <c r="C71" s="348"/>
      <c r="D71" s="349"/>
      <c r="E71" s="348"/>
      <c r="F71" s="345"/>
      <c r="G71" s="346"/>
      <c r="H71" s="348">
        <v>21</v>
      </c>
      <c r="I71" s="345"/>
      <c r="J71" s="349"/>
      <c r="K71" s="325"/>
      <c r="L71" s="325">
        <f t="shared" si="0"/>
        <v>21</v>
      </c>
      <c r="O71" s="325"/>
      <c r="P71" s="363"/>
      <c r="Q71" s="363"/>
      <c r="R71" s="364"/>
    </row>
    <row r="72" s="326" customFormat="1" ht="16.5" customHeight="1" spans="1:18">
      <c r="A72" s="347" t="s">
        <v>198</v>
      </c>
      <c r="B72" s="348">
        <v>1000</v>
      </c>
      <c r="C72" s="348">
        <v>1149</v>
      </c>
      <c r="D72" s="349">
        <f>C72/B72*100</f>
        <v>114.9</v>
      </c>
      <c r="E72" s="348">
        <v>2530</v>
      </c>
      <c r="F72" s="345">
        <f>C72-E72</f>
        <v>-1381</v>
      </c>
      <c r="G72" s="346">
        <f>F72/E72*100</f>
        <v>-54.5849802371541</v>
      </c>
      <c r="H72" s="348">
        <f>SUM(H73:H79)</f>
        <v>1080</v>
      </c>
      <c r="I72" s="345">
        <f>H72-B72</f>
        <v>80</v>
      </c>
      <c r="J72" s="349">
        <f>I72/B72*100</f>
        <v>8</v>
      </c>
      <c r="K72" s="325"/>
      <c r="L72" s="325">
        <f t="shared" ref="L72:L135" si="1">C72+H72</f>
        <v>2229</v>
      </c>
      <c r="O72" s="325"/>
      <c r="P72" s="363"/>
      <c r="Q72" s="363"/>
      <c r="R72" s="364"/>
    </row>
    <row r="73" ht="16.5" hidden="1" customHeight="1" spans="1:18">
      <c r="A73" s="347" t="s">
        <v>155</v>
      </c>
      <c r="B73" s="348"/>
      <c r="C73" s="348"/>
      <c r="D73" s="349"/>
      <c r="E73" s="348"/>
      <c r="F73" s="345"/>
      <c r="G73" s="346"/>
      <c r="H73" s="348">
        <v>0</v>
      </c>
      <c r="I73" s="345"/>
      <c r="J73" s="349"/>
      <c r="K73" s="325"/>
      <c r="L73" s="325">
        <f t="shared" si="1"/>
        <v>0</v>
      </c>
      <c r="O73" s="325"/>
      <c r="P73" s="363"/>
      <c r="Q73" s="363"/>
      <c r="R73" s="364"/>
    </row>
    <row r="74" ht="16.5" hidden="1" customHeight="1" spans="1:18">
      <c r="A74" s="347" t="s">
        <v>156</v>
      </c>
      <c r="B74" s="348"/>
      <c r="C74" s="348"/>
      <c r="D74" s="349"/>
      <c r="E74" s="348"/>
      <c r="F74" s="345"/>
      <c r="G74" s="346"/>
      <c r="H74" s="348">
        <v>0</v>
      </c>
      <c r="I74" s="345"/>
      <c r="J74" s="349"/>
      <c r="K74" s="325"/>
      <c r="L74" s="325">
        <f t="shared" si="1"/>
        <v>0</v>
      </c>
      <c r="O74" s="325"/>
      <c r="P74" s="363"/>
      <c r="Q74" s="363"/>
      <c r="R74" s="364"/>
    </row>
    <row r="75" ht="16.5" hidden="1" customHeight="1" spans="1:18">
      <c r="A75" s="347" t="s">
        <v>157</v>
      </c>
      <c r="B75" s="348"/>
      <c r="C75" s="348"/>
      <c r="D75" s="349"/>
      <c r="E75" s="348"/>
      <c r="F75" s="345"/>
      <c r="G75" s="346"/>
      <c r="H75" s="348">
        <v>0</v>
      </c>
      <c r="I75" s="345"/>
      <c r="J75" s="349"/>
      <c r="K75" s="325"/>
      <c r="L75" s="325">
        <f t="shared" si="1"/>
        <v>0</v>
      </c>
      <c r="O75" s="325"/>
      <c r="P75" s="363"/>
      <c r="Q75" s="363"/>
      <c r="R75" s="364"/>
    </row>
    <row r="76" ht="16.5" hidden="1" customHeight="1" spans="1:18">
      <c r="A76" s="347" t="s">
        <v>195</v>
      </c>
      <c r="B76" s="348"/>
      <c r="C76" s="348"/>
      <c r="D76" s="349"/>
      <c r="E76" s="348"/>
      <c r="F76" s="345"/>
      <c r="G76" s="346"/>
      <c r="H76" s="348">
        <v>0</v>
      </c>
      <c r="I76" s="345"/>
      <c r="J76" s="349"/>
      <c r="K76" s="325"/>
      <c r="L76" s="325">
        <f t="shared" si="1"/>
        <v>0</v>
      </c>
      <c r="O76" s="325"/>
      <c r="P76" s="363"/>
      <c r="Q76" s="363"/>
      <c r="R76" s="364"/>
    </row>
    <row r="77" ht="16.5" hidden="1" customHeight="1" spans="1:18">
      <c r="A77" s="347" t="s">
        <v>199</v>
      </c>
      <c r="B77" s="348"/>
      <c r="C77" s="348"/>
      <c r="D77" s="349"/>
      <c r="E77" s="348"/>
      <c r="F77" s="345"/>
      <c r="G77" s="346"/>
      <c r="H77" s="348">
        <v>0</v>
      </c>
      <c r="I77" s="345"/>
      <c r="J77" s="349"/>
      <c r="K77" s="325"/>
      <c r="L77" s="325">
        <f t="shared" si="1"/>
        <v>0</v>
      </c>
      <c r="O77" s="325"/>
      <c r="P77" s="363"/>
      <c r="Q77" s="363"/>
      <c r="R77" s="364"/>
    </row>
    <row r="78" ht="16.5" hidden="1" customHeight="1" spans="1:18">
      <c r="A78" s="347" t="s">
        <v>164</v>
      </c>
      <c r="B78" s="348"/>
      <c r="C78" s="348"/>
      <c r="D78" s="349"/>
      <c r="E78" s="348"/>
      <c r="F78" s="345"/>
      <c r="G78" s="346"/>
      <c r="H78" s="348">
        <v>0</v>
      </c>
      <c r="I78" s="345"/>
      <c r="J78" s="349"/>
      <c r="K78" s="325"/>
      <c r="L78" s="325">
        <f t="shared" si="1"/>
        <v>0</v>
      </c>
      <c r="O78" s="325"/>
      <c r="P78" s="363"/>
      <c r="Q78" s="363"/>
      <c r="R78" s="364"/>
    </row>
    <row r="79" ht="16.5" customHeight="1" spans="1:18">
      <c r="A79" s="347" t="s">
        <v>200</v>
      </c>
      <c r="B79" s="348"/>
      <c r="C79" s="348"/>
      <c r="D79" s="349"/>
      <c r="E79" s="348"/>
      <c r="F79" s="345"/>
      <c r="G79" s="346"/>
      <c r="H79" s="348">
        <v>1080</v>
      </c>
      <c r="I79" s="345"/>
      <c r="J79" s="349"/>
      <c r="K79" s="325"/>
      <c r="L79" s="325">
        <f t="shared" si="1"/>
        <v>1080</v>
      </c>
      <c r="O79" s="325"/>
      <c r="P79" s="363"/>
      <c r="Q79" s="363"/>
      <c r="R79" s="364"/>
    </row>
    <row r="80" s="326" customFormat="1" ht="16.5" customHeight="1" spans="1:18">
      <c r="A80" s="347" t="s">
        <v>201</v>
      </c>
      <c r="B80" s="348">
        <v>805</v>
      </c>
      <c r="C80" s="348">
        <v>976</v>
      </c>
      <c r="D80" s="349">
        <f>C80/B80*100</f>
        <v>121.242236024845</v>
      </c>
      <c r="E80" s="348">
        <v>881</v>
      </c>
      <c r="F80" s="345">
        <f>C80-E80</f>
        <v>95</v>
      </c>
      <c r="G80" s="346">
        <f>F80/E80*100</f>
        <v>10.783200908059</v>
      </c>
      <c r="H80" s="348">
        <f>SUM(H81:H88)</f>
        <v>774.974502</v>
      </c>
      <c r="I80" s="345">
        <f>H80-B80</f>
        <v>-30.025498</v>
      </c>
      <c r="J80" s="349">
        <f>I80/B80*100</f>
        <v>-3.72987552795031</v>
      </c>
      <c r="K80" s="325"/>
      <c r="L80" s="325">
        <f t="shared" si="1"/>
        <v>1750.974502</v>
      </c>
      <c r="O80" s="325"/>
      <c r="P80" s="363"/>
      <c r="Q80" s="363"/>
      <c r="R80" s="364"/>
    </row>
    <row r="81" ht="16.5" customHeight="1" spans="1:18">
      <c r="A81" s="347" t="s">
        <v>155</v>
      </c>
      <c r="B81" s="348"/>
      <c r="C81" s="348"/>
      <c r="D81" s="349"/>
      <c r="E81" s="348"/>
      <c r="F81" s="345"/>
      <c r="G81" s="346"/>
      <c r="H81" s="348">
        <v>607.659224</v>
      </c>
      <c r="I81" s="345"/>
      <c r="J81" s="349"/>
      <c r="K81" s="325"/>
      <c r="L81" s="325">
        <f t="shared" si="1"/>
        <v>607.659224</v>
      </c>
      <c r="O81" s="325"/>
      <c r="P81" s="363"/>
      <c r="Q81" s="363"/>
      <c r="R81" s="364"/>
    </row>
    <row r="82" ht="16.5" hidden="1" customHeight="1" spans="1:18">
      <c r="A82" s="347" t="s">
        <v>156</v>
      </c>
      <c r="B82" s="348"/>
      <c r="C82" s="348"/>
      <c r="D82" s="349"/>
      <c r="E82" s="348"/>
      <c r="F82" s="345"/>
      <c r="G82" s="346"/>
      <c r="H82" s="348">
        <v>0</v>
      </c>
      <c r="I82" s="345"/>
      <c r="J82" s="349"/>
      <c r="K82" s="325"/>
      <c r="L82" s="325">
        <f t="shared" si="1"/>
        <v>0</v>
      </c>
      <c r="O82" s="325"/>
      <c r="P82" s="363"/>
      <c r="Q82" s="363"/>
      <c r="R82" s="364"/>
    </row>
    <row r="83" hidden="1" spans="1:18">
      <c r="A83" s="347" t="s">
        <v>157</v>
      </c>
      <c r="B83" s="348"/>
      <c r="C83" s="348"/>
      <c r="D83" s="349"/>
      <c r="E83" s="348"/>
      <c r="F83" s="345"/>
      <c r="G83" s="346"/>
      <c r="H83" s="348">
        <v>0</v>
      </c>
      <c r="I83" s="345"/>
      <c r="J83" s="349"/>
      <c r="K83" s="325"/>
      <c r="L83" s="325">
        <f t="shared" si="1"/>
        <v>0</v>
      </c>
      <c r="O83" s="325"/>
      <c r="P83" s="363"/>
      <c r="Q83" s="363"/>
      <c r="R83" s="364"/>
    </row>
    <row r="84" ht="16.5" hidden="1" customHeight="1" spans="1:18">
      <c r="A84" s="347" t="s">
        <v>202</v>
      </c>
      <c r="B84" s="348"/>
      <c r="C84" s="348"/>
      <c r="D84" s="349"/>
      <c r="E84" s="348"/>
      <c r="F84" s="345"/>
      <c r="G84" s="346"/>
      <c r="H84" s="348">
        <v>0</v>
      </c>
      <c r="I84" s="345"/>
      <c r="J84" s="349"/>
      <c r="K84" s="325"/>
      <c r="L84" s="325">
        <f t="shared" si="1"/>
        <v>0</v>
      </c>
      <c r="O84" s="325"/>
      <c r="P84" s="363"/>
      <c r="Q84" s="363"/>
      <c r="R84" s="364"/>
    </row>
    <row r="85" ht="16.5" hidden="1" customHeight="1" spans="1:18">
      <c r="A85" s="347" t="s">
        <v>203</v>
      </c>
      <c r="B85" s="348"/>
      <c r="C85" s="348"/>
      <c r="D85" s="349"/>
      <c r="E85" s="348"/>
      <c r="F85" s="345"/>
      <c r="G85" s="346"/>
      <c r="H85" s="348">
        <v>0</v>
      </c>
      <c r="I85" s="345"/>
      <c r="J85" s="349"/>
      <c r="K85" s="325"/>
      <c r="L85" s="325">
        <f t="shared" si="1"/>
        <v>0</v>
      </c>
      <c r="O85" s="325"/>
      <c r="P85" s="363"/>
      <c r="Q85" s="363"/>
      <c r="R85" s="364"/>
    </row>
    <row r="86" ht="16.5" hidden="1" customHeight="1" spans="1:18">
      <c r="A86" s="347" t="s">
        <v>195</v>
      </c>
      <c r="B86" s="348"/>
      <c r="C86" s="348"/>
      <c r="D86" s="349"/>
      <c r="E86" s="348"/>
      <c r="F86" s="345"/>
      <c r="G86" s="346"/>
      <c r="H86" s="348">
        <v>0</v>
      </c>
      <c r="I86" s="345"/>
      <c r="J86" s="349"/>
      <c r="K86" s="325"/>
      <c r="L86" s="325">
        <f t="shared" si="1"/>
        <v>0</v>
      </c>
      <c r="O86" s="325"/>
      <c r="P86" s="363"/>
      <c r="Q86" s="363"/>
      <c r="R86" s="364"/>
    </row>
    <row r="87" ht="16.5" customHeight="1" spans="1:18">
      <c r="A87" s="347" t="s">
        <v>164</v>
      </c>
      <c r="B87" s="348"/>
      <c r="C87" s="348"/>
      <c r="D87" s="349"/>
      <c r="E87" s="348"/>
      <c r="F87" s="345"/>
      <c r="G87" s="346"/>
      <c r="H87" s="348">
        <v>0.480411</v>
      </c>
      <c r="I87" s="345"/>
      <c r="J87" s="349"/>
      <c r="K87" s="325"/>
      <c r="L87" s="325">
        <f t="shared" si="1"/>
        <v>0.480411</v>
      </c>
      <c r="O87" s="325"/>
      <c r="P87" s="363"/>
      <c r="Q87" s="363"/>
      <c r="R87" s="364"/>
    </row>
    <row r="88" ht="16.5" customHeight="1" spans="1:18">
      <c r="A88" s="347" t="s">
        <v>204</v>
      </c>
      <c r="B88" s="348"/>
      <c r="C88" s="348"/>
      <c r="D88" s="349"/>
      <c r="E88" s="348"/>
      <c r="F88" s="345"/>
      <c r="G88" s="346"/>
      <c r="H88" s="348">
        <v>166.834867</v>
      </c>
      <c r="I88" s="345"/>
      <c r="J88" s="349"/>
      <c r="K88" s="325"/>
      <c r="L88" s="325">
        <f t="shared" si="1"/>
        <v>166.834867</v>
      </c>
      <c r="O88" s="325"/>
      <c r="P88" s="363"/>
      <c r="Q88" s="363"/>
      <c r="R88" s="364"/>
    </row>
    <row r="89" s="326" customFormat="1" ht="18" customHeight="1" spans="1:18">
      <c r="A89" s="347" t="s">
        <v>205</v>
      </c>
      <c r="B89" s="348"/>
      <c r="C89" s="348">
        <v>405</v>
      </c>
      <c r="D89" s="349"/>
      <c r="E89" s="348">
        <v>124</v>
      </c>
      <c r="F89" s="345">
        <f>C89-E89</f>
        <v>281</v>
      </c>
      <c r="G89" s="346">
        <f>F89/E89*100</f>
        <v>226.612903225806</v>
      </c>
      <c r="H89" s="348">
        <v>0</v>
      </c>
      <c r="I89" s="345">
        <v>-930.88</v>
      </c>
      <c r="J89" s="349">
        <v>-23.9308153464888</v>
      </c>
      <c r="K89" s="325"/>
      <c r="L89" s="325">
        <f t="shared" si="1"/>
        <v>405</v>
      </c>
      <c r="O89" s="325"/>
      <c r="P89" s="363"/>
      <c r="Q89" s="363"/>
      <c r="R89" s="364"/>
    </row>
    <row r="90" s="326" customFormat="1" ht="16.5" customHeight="1" spans="1:18">
      <c r="A90" s="347" t="s">
        <v>206</v>
      </c>
      <c r="B90" s="348">
        <v>2057</v>
      </c>
      <c r="C90" s="348">
        <v>6313</v>
      </c>
      <c r="D90" s="349">
        <f>C90/B90*100</f>
        <v>306.903257170637</v>
      </c>
      <c r="E90" s="348">
        <v>2084</v>
      </c>
      <c r="F90" s="345">
        <f>C90-E90</f>
        <v>4229</v>
      </c>
      <c r="G90" s="346">
        <f>F90/E90*100</f>
        <v>202.927063339731</v>
      </c>
      <c r="H90" s="348">
        <f>SUM(H91:H98)</f>
        <v>2242.822017</v>
      </c>
      <c r="I90" s="345">
        <f>H90-B90</f>
        <v>185.822017</v>
      </c>
      <c r="J90" s="349">
        <f>I90/B90*100</f>
        <v>9.03364205153138</v>
      </c>
      <c r="K90" s="325"/>
      <c r="L90" s="325">
        <f t="shared" si="1"/>
        <v>8555.822017</v>
      </c>
      <c r="O90" s="325"/>
      <c r="P90" s="363"/>
      <c r="Q90" s="363"/>
      <c r="R90" s="364"/>
    </row>
    <row r="91" ht="16.5" customHeight="1" spans="1:18">
      <c r="A91" s="365" t="s">
        <v>155</v>
      </c>
      <c r="B91" s="348"/>
      <c r="C91" s="348"/>
      <c r="D91" s="349"/>
      <c r="E91" s="348"/>
      <c r="F91" s="345"/>
      <c r="G91" s="346"/>
      <c r="H91" s="348">
        <v>2066.93444</v>
      </c>
      <c r="I91" s="345"/>
      <c r="J91" s="349"/>
      <c r="K91" s="325"/>
      <c r="L91" s="325">
        <f t="shared" si="1"/>
        <v>2066.93444</v>
      </c>
      <c r="O91" s="325"/>
      <c r="P91" s="363"/>
      <c r="Q91" s="363"/>
      <c r="R91" s="364"/>
    </row>
    <row r="92" ht="16.5" customHeight="1" spans="1:18">
      <c r="A92" s="365" t="s">
        <v>156</v>
      </c>
      <c r="B92" s="348"/>
      <c r="C92" s="348"/>
      <c r="D92" s="349"/>
      <c r="E92" s="348"/>
      <c r="F92" s="345"/>
      <c r="G92" s="346"/>
      <c r="H92" s="348">
        <v>117.720346</v>
      </c>
      <c r="I92" s="345"/>
      <c r="J92" s="349"/>
      <c r="K92" s="325"/>
      <c r="L92" s="325">
        <f t="shared" si="1"/>
        <v>117.720346</v>
      </c>
      <c r="O92" s="325"/>
      <c r="P92" s="363"/>
      <c r="Q92" s="363"/>
      <c r="R92" s="364"/>
    </row>
    <row r="93" ht="16.5" hidden="1" customHeight="1" spans="1:18">
      <c r="A93" s="347" t="s">
        <v>157</v>
      </c>
      <c r="B93" s="348"/>
      <c r="C93" s="348"/>
      <c r="D93" s="349"/>
      <c r="E93" s="348"/>
      <c r="F93" s="345"/>
      <c r="G93" s="346"/>
      <c r="H93" s="348">
        <v>0</v>
      </c>
      <c r="I93" s="345"/>
      <c r="J93" s="349"/>
      <c r="K93" s="325"/>
      <c r="L93" s="325">
        <f t="shared" si="1"/>
        <v>0</v>
      </c>
      <c r="O93" s="325"/>
      <c r="P93" s="363"/>
      <c r="Q93" s="363"/>
      <c r="R93" s="364"/>
    </row>
    <row r="94" ht="16.5" hidden="1" customHeight="1" spans="1:18">
      <c r="A94" s="365" t="s">
        <v>207</v>
      </c>
      <c r="B94" s="348"/>
      <c r="C94" s="348"/>
      <c r="D94" s="349"/>
      <c r="E94" s="348"/>
      <c r="F94" s="345"/>
      <c r="G94" s="346"/>
      <c r="H94" s="348">
        <v>0</v>
      </c>
      <c r="I94" s="345"/>
      <c r="J94" s="349"/>
      <c r="K94" s="325"/>
      <c r="L94" s="325">
        <f t="shared" si="1"/>
        <v>0</v>
      </c>
      <c r="O94" s="325"/>
      <c r="P94" s="363"/>
      <c r="Q94" s="363"/>
      <c r="R94" s="364"/>
    </row>
    <row r="95" ht="16.5" hidden="1" customHeight="1" spans="1:18">
      <c r="A95" s="365" t="s">
        <v>208</v>
      </c>
      <c r="B95" s="348"/>
      <c r="C95" s="348"/>
      <c r="D95" s="349"/>
      <c r="E95" s="348"/>
      <c r="F95" s="345"/>
      <c r="G95" s="346"/>
      <c r="H95" s="348">
        <v>0</v>
      </c>
      <c r="I95" s="345"/>
      <c r="J95" s="349"/>
      <c r="K95" s="325"/>
      <c r="L95" s="325">
        <f t="shared" si="1"/>
        <v>0</v>
      </c>
      <c r="O95" s="325"/>
      <c r="P95" s="363"/>
      <c r="Q95" s="363"/>
      <c r="R95" s="364"/>
    </row>
    <row r="96" ht="16.5" customHeight="1" spans="1:18">
      <c r="A96" s="365" t="s">
        <v>209</v>
      </c>
      <c r="B96" s="348"/>
      <c r="C96" s="348"/>
      <c r="D96" s="349"/>
      <c r="E96" s="348"/>
      <c r="F96" s="345"/>
      <c r="G96" s="346"/>
      <c r="H96" s="348">
        <v>10</v>
      </c>
      <c r="I96" s="345"/>
      <c r="J96" s="349"/>
      <c r="K96" s="325"/>
      <c r="L96" s="325">
        <f t="shared" si="1"/>
        <v>10</v>
      </c>
      <c r="O96" s="325"/>
      <c r="P96" s="363"/>
      <c r="Q96" s="363"/>
      <c r="R96" s="364"/>
    </row>
    <row r="97" ht="16.5" customHeight="1" spans="1:18">
      <c r="A97" s="365" t="s">
        <v>164</v>
      </c>
      <c r="B97" s="348"/>
      <c r="C97" s="348"/>
      <c r="D97" s="349"/>
      <c r="E97" s="348"/>
      <c r="F97" s="345"/>
      <c r="G97" s="346"/>
      <c r="H97" s="348">
        <v>43.914231</v>
      </c>
      <c r="I97" s="345"/>
      <c r="J97" s="349"/>
      <c r="K97" s="325"/>
      <c r="L97" s="325">
        <f t="shared" si="1"/>
        <v>43.914231</v>
      </c>
      <c r="O97" s="325"/>
      <c r="P97" s="363"/>
      <c r="Q97" s="363"/>
      <c r="R97" s="364"/>
    </row>
    <row r="98" ht="16.5" customHeight="1" spans="1:18">
      <c r="A98" s="365" t="s">
        <v>210</v>
      </c>
      <c r="B98" s="348"/>
      <c r="C98" s="348"/>
      <c r="D98" s="349"/>
      <c r="E98" s="348"/>
      <c r="F98" s="345"/>
      <c r="G98" s="346"/>
      <c r="H98" s="348">
        <v>4.253</v>
      </c>
      <c r="I98" s="345"/>
      <c r="J98" s="349"/>
      <c r="K98" s="325"/>
      <c r="L98" s="325">
        <f t="shared" si="1"/>
        <v>4.253</v>
      </c>
      <c r="O98" s="325"/>
      <c r="P98" s="363"/>
      <c r="Q98" s="363"/>
      <c r="R98" s="364"/>
    </row>
    <row r="99" s="326" customFormat="1" ht="16.5" customHeight="1" spans="1:18">
      <c r="A99" s="347" t="s">
        <v>211</v>
      </c>
      <c r="B99" s="348">
        <v>1248</v>
      </c>
      <c r="C99" s="348">
        <v>1571</v>
      </c>
      <c r="D99" s="349">
        <f>C99/B99*100</f>
        <v>125.88141025641</v>
      </c>
      <c r="E99" s="348">
        <v>1651</v>
      </c>
      <c r="F99" s="345">
        <f>C99-E99</f>
        <v>-80</v>
      </c>
      <c r="G99" s="346">
        <f>F99/E99*100</f>
        <v>-4.84554815263477</v>
      </c>
      <c r="H99" s="348">
        <f>SUM(H100:H109)</f>
        <v>1108.137892</v>
      </c>
      <c r="I99" s="345">
        <f>H99-B99</f>
        <v>-139.862108</v>
      </c>
      <c r="J99" s="349">
        <f>I99/B99*100</f>
        <v>-11.2068996794872</v>
      </c>
      <c r="K99" s="325"/>
      <c r="L99" s="325">
        <f t="shared" si="1"/>
        <v>2679.137892</v>
      </c>
      <c r="O99" s="325"/>
      <c r="P99" s="363"/>
      <c r="Q99" s="363"/>
      <c r="R99" s="364"/>
    </row>
    <row r="100" ht="16.5" customHeight="1" spans="1:18">
      <c r="A100" s="347" t="s">
        <v>155</v>
      </c>
      <c r="B100" s="348"/>
      <c r="C100" s="348"/>
      <c r="D100" s="349"/>
      <c r="E100" s="348"/>
      <c r="F100" s="345"/>
      <c r="G100" s="346"/>
      <c r="H100" s="348">
        <v>881.847892</v>
      </c>
      <c r="I100" s="345"/>
      <c r="J100" s="349"/>
      <c r="K100" s="325"/>
      <c r="L100" s="325">
        <f t="shared" si="1"/>
        <v>881.847892</v>
      </c>
      <c r="O100" s="325"/>
      <c r="P100" s="363"/>
      <c r="Q100" s="363"/>
      <c r="R100" s="364"/>
    </row>
    <row r="101" ht="16.5" customHeight="1" spans="1:18">
      <c r="A101" s="347" t="s">
        <v>156</v>
      </c>
      <c r="B101" s="348"/>
      <c r="C101" s="348"/>
      <c r="D101" s="349"/>
      <c r="E101" s="348"/>
      <c r="F101" s="345"/>
      <c r="G101" s="346"/>
      <c r="H101" s="348">
        <v>34.82</v>
      </c>
      <c r="I101" s="345"/>
      <c r="J101" s="349"/>
      <c r="K101" s="325"/>
      <c r="L101" s="325">
        <f t="shared" si="1"/>
        <v>34.82</v>
      </c>
      <c r="O101" s="325"/>
      <c r="P101" s="363"/>
      <c r="Q101" s="363"/>
      <c r="R101" s="364"/>
    </row>
    <row r="102" ht="16.5" hidden="1" customHeight="1" spans="1:18">
      <c r="A102" s="347" t="s">
        <v>157</v>
      </c>
      <c r="B102" s="348"/>
      <c r="C102" s="348"/>
      <c r="D102" s="349"/>
      <c r="E102" s="348"/>
      <c r="F102" s="345"/>
      <c r="G102" s="346"/>
      <c r="H102" s="348">
        <v>0</v>
      </c>
      <c r="I102" s="345"/>
      <c r="J102" s="349"/>
      <c r="K102" s="325"/>
      <c r="L102" s="325">
        <f t="shared" si="1"/>
        <v>0</v>
      </c>
      <c r="O102" s="325"/>
      <c r="P102" s="363"/>
      <c r="Q102" s="363"/>
      <c r="R102" s="364"/>
    </row>
    <row r="103" ht="16.5" hidden="1" customHeight="1" spans="1:18">
      <c r="A103" s="347" t="s">
        <v>212</v>
      </c>
      <c r="B103" s="348"/>
      <c r="C103" s="348"/>
      <c r="D103" s="349"/>
      <c r="E103" s="348"/>
      <c r="F103" s="345"/>
      <c r="G103" s="346"/>
      <c r="H103" s="348">
        <v>0</v>
      </c>
      <c r="I103" s="345"/>
      <c r="J103" s="349"/>
      <c r="K103" s="325"/>
      <c r="L103" s="325">
        <f t="shared" si="1"/>
        <v>0</v>
      </c>
      <c r="O103" s="325"/>
      <c r="P103" s="363"/>
      <c r="Q103" s="363"/>
      <c r="R103" s="364"/>
    </row>
    <row r="104" ht="16.5" hidden="1" customHeight="1" spans="1:18">
      <c r="A104" s="347" t="s">
        <v>213</v>
      </c>
      <c r="B104" s="348"/>
      <c r="C104" s="348"/>
      <c r="D104" s="349"/>
      <c r="E104" s="348"/>
      <c r="F104" s="345"/>
      <c r="G104" s="346"/>
      <c r="H104" s="348">
        <v>0</v>
      </c>
      <c r="I104" s="345"/>
      <c r="J104" s="349"/>
      <c r="K104" s="325"/>
      <c r="L104" s="325">
        <f t="shared" si="1"/>
        <v>0</v>
      </c>
      <c r="O104" s="325"/>
      <c r="P104" s="363"/>
      <c r="Q104" s="363"/>
      <c r="R104" s="364"/>
    </row>
    <row r="105" ht="16.5" hidden="1" customHeight="1" spans="1:18">
      <c r="A105" s="347" t="s">
        <v>214</v>
      </c>
      <c r="B105" s="348"/>
      <c r="C105" s="348"/>
      <c r="D105" s="349"/>
      <c r="E105" s="348"/>
      <c r="F105" s="345"/>
      <c r="G105" s="346"/>
      <c r="H105" s="348">
        <v>0</v>
      </c>
      <c r="I105" s="345"/>
      <c r="J105" s="349"/>
      <c r="K105" s="325"/>
      <c r="L105" s="325">
        <f t="shared" si="1"/>
        <v>0</v>
      </c>
      <c r="O105" s="325"/>
      <c r="P105" s="363"/>
      <c r="Q105" s="363"/>
      <c r="R105" s="364"/>
    </row>
    <row r="106" ht="16.5" hidden="1" customHeight="1" spans="1:18">
      <c r="A106" s="347" t="s">
        <v>215</v>
      </c>
      <c r="B106" s="348"/>
      <c r="C106" s="348"/>
      <c r="D106" s="349"/>
      <c r="E106" s="348"/>
      <c r="F106" s="345"/>
      <c r="G106" s="346"/>
      <c r="H106" s="348">
        <v>0</v>
      </c>
      <c r="I106" s="345"/>
      <c r="J106" s="349"/>
      <c r="K106" s="325"/>
      <c r="L106" s="325">
        <f t="shared" si="1"/>
        <v>0</v>
      </c>
      <c r="O106" s="325"/>
      <c r="P106" s="363"/>
      <c r="Q106" s="363"/>
      <c r="R106" s="364"/>
    </row>
    <row r="107" ht="16.5" customHeight="1" spans="1:18">
      <c r="A107" s="347" t="s">
        <v>216</v>
      </c>
      <c r="B107" s="348"/>
      <c r="C107" s="348"/>
      <c r="D107" s="349"/>
      <c r="E107" s="348"/>
      <c r="F107" s="345"/>
      <c r="G107" s="346"/>
      <c r="H107" s="348">
        <v>162.47</v>
      </c>
      <c r="I107" s="345"/>
      <c r="J107" s="349"/>
      <c r="K107" s="325"/>
      <c r="L107" s="325">
        <f t="shared" si="1"/>
        <v>162.47</v>
      </c>
      <c r="O107" s="325"/>
      <c r="P107" s="363"/>
      <c r="Q107" s="363"/>
      <c r="R107" s="364"/>
    </row>
    <row r="108" ht="16.5" hidden="1" customHeight="1" spans="1:18">
      <c r="A108" s="347" t="s">
        <v>164</v>
      </c>
      <c r="B108" s="348"/>
      <c r="C108" s="348"/>
      <c r="D108" s="349"/>
      <c r="E108" s="348"/>
      <c r="F108" s="345"/>
      <c r="G108" s="346"/>
      <c r="H108" s="348">
        <v>0</v>
      </c>
      <c r="I108" s="345"/>
      <c r="J108" s="349"/>
      <c r="K108" s="325"/>
      <c r="L108" s="325">
        <f t="shared" si="1"/>
        <v>0</v>
      </c>
      <c r="O108" s="325"/>
      <c r="P108" s="363"/>
      <c r="Q108" s="363"/>
      <c r="R108" s="364"/>
    </row>
    <row r="109" ht="16.5" customHeight="1" spans="1:18">
      <c r="A109" s="347" t="s">
        <v>217</v>
      </c>
      <c r="B109" s="348"/>
      <c r="C109" s="348"/>
      <c r="D109" s="349"/>
      <c r="E109" s="348"/>
      <c r="F109" s="345"/>
      <c r="G109" s="346"/>
      <c r="H109" s="348">
        <v>29</v>
      </c>
      <c r="I109" s="345"/>
      <c r="J109" s="349"/>
      <c r="K109" s="325"/>
      <c r="L109" s="325">
        <f t="shared" si="1"/>
        <v>29</v>
      </c>
      <c r="O109" s="325"/>
      <c r="P109" s="363"/>
      <c r="Q109" s="363"/>
      <c r="R109" s="364"/>
    </row>
    <row r="110" s="326" customFormat="1" ht="16.5" customHeight="1" spans="1:18">
      <c r="A110" s="347" t="s">
        <v>218</v>
      </c>
      <c r="B110" s="348"/>
      <c r="C110" s="348">
        <v>54</v>
      </c>
      <c r="D110" s="349"/>
      <c r="E110" s="348"/>
      <c r="F110" s="345">
        <f>C110-E110</f>
        <v>54</v>
      </c>
      <c r="G110" s="346"/>
      <c r="H110" s="348">
        <v>0</v>
      </c>
      <c r="I110" s="345">
        <f>H110-B110</f>
        <v>0</v>
      </c>
      <c r="J110" s="349"/>
      <c r="K110" s="325"/>
      <c r="L110" s="325">
        <f t="shared" si="1"/>
        <v>54</v>
      </c>
      <c r="O110" s="325"/>
      <c r="P110" s="363"/>
      <c r="Q110" s="363"/>
      <c r="R110" s="364"/>
    </row>
    <row r="111" s="326" customFormat="1" ht="16.5" customHeight="1" spans="1:18">
      <c r="A111" s="347" t="s">
        <v>219</v>
      </c>
      <c r="B111" s="348">
        <v>7</v>
      </c>
      <c r="C111" s="348">
        <v>6.85</v>
      </c>
      <c r="D111" s="349">
        <f>C111/B111*100</f>
        <v>97.8571428571428</v>
      </c>
      <c r="E111" s="348"/>
      <c r="F111" s="345">
        <f>C111-E111</f>
        <v>6.85</v>
      </c>
      <c r="G111" s="346"/>
      <c r="H111" s="348">
        <f>SUM(H112:H117)</f>
        <v>0</v>
      </c>
      <c r="I111" s="345">
        <f>H111-B111</f>
        <v>-7</v>
      </c>
      <c r="J111" s="349">
        <f>I111/B111*100</f>
        <v>-100</v>
      </c>
      <c r="K111" s="325"/>
      <c r="L111" s="325">
        <f t="shared" si="1"/>
        <v>6.85</v>
      </c>
      <c r="O111" s="325"/>
      <c r="P111" s="363"/>
      <c r="Q111" s="363"/>
      <c r="R111" s="364"/>
    </row>
    <row r="112" ht="16.5" hidden="1" customHeight="1" spans="1:18">
      <c r="A112" s="347" t="s">
        <v>155</v>
      </c>
      <c r="B112" s="348"/>
      <c r="C112" s="348"/>
      <c r="D112" s="349"/>
      <c r="E112" s="348"/>
      <c r="F112" s="345"/>
      <c r="G112" s="346"/>
      <c r="H112" s="348"/>
      <c r="I112" s="345"/>
      <c r="J112" s="349"/>
      <c r="K112" s="325"/>
      <c r="L112" s="325">
        <f t="shared" si="1"/>
        <v>0</v>
      </c>
      <c r="O112" s="325"/>
      <c r="P112" s="363"/>
      <c r="Q112" s="363"/>
      <c r="R112" s="364"/>
    </row>
    <row r="113" ht="16.5" hidden="1" customHeight="1" spans="1:18">
      <c r="A113" s="347" t="s">
        <v>156</v>
      </c>
      <c r="B113" s="348"/>
      <c r="C113" s="348"/>
      <c r="D113" s="349"/>
      <c r="E113" s="348"/>
      <c r="F113" s="345"/>
      <c r="G113" s="346"/>
      <c r="H113" s="348"/>
      <c r="I113" s="345"/>
      <c r="J113" s="349"/>
      <c r="K113" s="325"/>
      <c r="L113" s="325">
        <f t="shared" si="1"/>
        <v>0</v>
      </c>
      <c r="O113" s="325"/>
      <c r="P113" s="363"/>
      <c r="Q113" s="363"/>
      <c r="R113" s="364"/>
    </row>
    <row r="114" ht="16.5" hidden="1" customHeight="1" spans="1:18">
      <c r="A114" s="347" t="s">
        <v>157</v>
      </c>
      <c r="B114" s="348"/>
      <c r="C114" s="348"/>
      <c r="D114" s="349"/>
      <c r="E114" s="348"/>
      <c r="F114" s="345"/>
      <c r="G114" s="346"/>
      <c r="H114" s="348"/>
      <c r="I114" s="345"/>
      <c r="J114" s="349"/>
      <c r="K114" s="325"/>
      <c r="L114" s="325">
        <f t="shared" si="1"/>
        <v>0</v>
      </c>
      <c r="O114" s="325"/>
      <c r="P114" s="363"/>
      <c r="Q114" s="363"/>
      <c r="R114" s="364"/>
    </row>
    <row r="115" ht="16.5" hidden="1" customHeight="1" spans="1:18">
      <c r="A115" s="347" t="s">
        <v>220</v>
      </c>
      <c r="B115" s="348"/>
      <c r="C115" s="348"/>
      <c r="D115" s="349"/>
      <c r="E115" s="348"/>
      <c r="F115" s="345"/>
      <c r="G115" s="346"/>
      <c r="H115" s="348"/>
      <c r="I115" s="345"/>
      <c r="J115" s="349"/>
      <c r="K115" s="325"/>
      <c r="L115" s="325">
        <f t="shared" si="1"/>
        <v>0</v>
      </c>
      <c r="O115" s="325"/>
      <c r="P115" s="363"/>
      <c r="Q115" s="363"/>
      <c r="R115" s="364"/>
    </row>
    <row r="116" ht="16.5" hidden="1" customHeight="1" spans="1:18">
      <c r="A116" s="347" t="s">
        <v>164</v>
      </c>
      <c r="B116" s="348"/>
      <c r="C116" s="348"/>
      <c r="D116" s="349"/>
      <c r="E116" s="348"/>
      <c r="F116" s="345"/>
      <c r="G116" s="346"/>
      <c r="H116" s="348"/>
      <c r="I116" s="345"/>
      <c r="J116" s="349"/>
      <c r="K116" s="325"/>
      <c r="L116" s="325">
        <f t="shared" si="1"/>
        <v>0</v>
      </c>
      <c r="O116" s="325"/>
      <c r="P116" s="363"/>
      <c r="Q116" s="363"/>
      <c r="R116" s="364"/>
    </row>
    <row r="117" ht="16.5" hidden="1" customHeight="1" spans="1:18">
      <c r="A117" s="347" t="s">
        <v>221</v>
      </c>
      <c r="B117" s="348"/>
      <c r="C117" s="348"/>
      <c r="D117" s="349"/>
      <c r="E117" s="348"/>
      <c r="F117" s="345"/>
      <c r="G117" s="346"/>
      <c r="H117" s="348"/>
      <c r="I117" s="345"/>
      <c r="J117" s="349"/>
      <c r="K117" s="325"/>
      <c r="L117" s="325">
        <f t="shared" si="1"/>
        <v>0</v>
      </c>
      <c r="O117" s="325"/>
      <c r="P117" s="363"/>
      <c r="Q117" s="363"/>
      <c r="R117" s="364"/>
    </row>
    <row r="118" s="326" customFormat="1" ht="16.5" hidden="1" customHeight="1" spans="1:18">
      <c r="A118" s="347" t="s">
        <v>222</v>
      </c>
      <c r="B118" s="348"/>
      <c r="C118" s="348"/>
      <c r="D118" s="349"/>
      <c r="E118" s="348"/>
      <c r="F118" s="345"/>
      <c r="G118" s="346"/>
      <c r="H118" s="348"/>
      <c r="I118" s="345"/>
      <c r="J118" s="349"/>
      <c r="K118" s="325"/>
      <c r="L118" s="325">
        <f t="shared" si="1"/>
        <v>0</v>
      </c>
      <c r="O118" s="325"/>
      <c r="P118" s="363"/>
      <c r="Q118" s="363"/>
      <c r="R118" s="364"/>
    </row>
    <row r="119" s="326" customFormat="1" ht="16.5" customHeight="1" spans="1:18">
      <c r="A119" s="347" t="s">
        <v>223</v>
      </c>
      <c r="B119" s="348">
        <v>173</v>
      </c>
      <c r="C119" s="348">
        <v>175</v>
      </c>
      <c r="D119" s="349">
        <f>C119/B119*100</f>
        <v>101.156069364162</v>
      </c>
      <c r="E119" s="348">
        <v>207</v>
      </c>
      <c r="F119" s="345">
        <f>C119-E119</f>
        <v>-32</v>
      </c>
      <c r="G119" s="346">
        <f>F119/E119*100</f>
        <v>-15.4589371980676</v>
      </c>
      <c r="H119" s="348">
        <f>SUM(H120:H124)</f>
        <v>115.558124</v>
      </c>
      <c r="I119" s="345">
        <f>H119-B119</f>
        <v>-57.441876</v>
      </c>
      <c r="J119" s="349">
        <f>I119/B119*100</f>
        <v>-33.2033965317919</v>
      </c>
      <c r="K119" s="325"/>
      <c r="L119" s="325">
        <f t="shared" si="1"/>
        <v>290.558124</v>
      </c>
      <c r="O119" s="325"/>
      <c r="P119" s="363"/>
      <c r="Q119" s="363"/>
      <c r="R119" s="364"/>
    </row>
    <row r="120" ht="16.5" customHeight="1" spans="1:18">
      <c r="A120" s="365" t="s">
        <v>155</v>
      </c>
      <c r="B120" s="348"/>
      <c r="C120" s="348"/>
      <c r="D120" s="349"/>
      <c r="E120" s="348"/>
      <c r="F120" s="345"/>
      <c r="G120" s="346"/>
      <c r="H120" s="348">
        <v>111.158124</v>
      </c>
      <c r="I120" s="345"/>
      <c r="J120" s="349"/>
      <c r="K120" s="325"/>
      <c r="L120" s="325">
        <f t="shared" si="1"/>
        <v>111.158124</v>
      </c>
      <c r="O120" s="325"/>
      <c r="P120" s="363"/>
      <c r="Q120" s="363"/>
      <c r="R120" s="364"/>
    </row>
    <row r="121" ht="16.5" customHeight="1" spans="1:18">
      <c r="A121" s="365" t="s">
        <v>156</v>
      </c>
      <c r="B121" s="348"/>
      <c r="C121" s="348"/>
      <c r="D121" s="349"/>
      <c r="E121" s="348"/>
      <c r="F121" s="345"/>
      <c r="G121" s="346"/>
      <c r="H121" s="348">
        <v>1.499</v>
      </c>
      <c r="I121" s="345"/>
      <c r="J121" s="349"/>
      <c r="K121" s="325"/>
      <c r="L121" s="325">
        <f t="shared" si="1"/>
        <v>1.499</v>
      </c>
      <c r="O121" s="325"/>
      <c r="P121" s="363"/>
      <c r="Q121" s="363"/>
      <c r="R121" s="364"/>
    </row>
    <row r="122" ht="16.5" hidden="1" customHeight="1" spans="1:18">
      <c r="A122" s="365" t="s">
        <v>157</v>
      </c>
      <c r="B122" s="348"/>
      <c r="C122" s="348"/>
      <c r="D122" s="349"/>
      <c r="E122" s="348"/>
      <c r="F122" s="345"/>
      <c r="G122" s="346"/>
      <c r="H122" s="348">
        <v>0</v>
      </c>
      <c r="I122" s="345"/>
      <c r="J122" s="349"/>
      <c r="K122" s="325"/>
      <c r="L122" s="325">
        <f t="shared" si="1"/>
        <v>0</v>
      </c>
      <c r="O122" s="325"/>
      <c r="P122" s="363"/>
      <c r="Q122" s="363"/>
      <c r="R122" s="364"/>
    </row>
    <row r="123" ht="16.5" customHeight="1" spans="1:18">
      <c r="A123" s="365" t="s">
        <v>224</v>
      </c>
      <c r="B123" s="348"/>
      <c r="C123" s="348"/>
      <c r="D123" s="349"/>
      <c r="E123" s="348"/>
      <c r="F123" s="345"/>
      <c r="G123" s="346"/>
      <c r="H123" s="348">
        <v>2.901</v>
      </c>
      <c r="I123" s="345"/>
      <c r="J123" s="349"/>
      <c r="K123" s="325"/>
      <c r="L123" s="325">
        <f t="shared" si="1"/>
        <v>2.901</v>
      </c>
      <c r="O123" s="325"/>
      <c r="P123" s="363"/>
      <c r="Q123" s="363"/>
      <c r="R123" s="364"/>
    </row>
    <row r="124" ht="16.5" hidden="1" customHeight="1" spans="1:18">
      <c r="A124" s="365" t="s">
        <v>225</v>
      </c>
      <c r="B124" s="348"/>
      <c r="C124" s="348"/>
      <c r="D124" s="349"/>
      <c r="E124" s="348"/>
      <c r="F124" s="345"/>
      <c r="G124" s="346"/>
      <c r="H124" s="348">
        <v>0</v>
      </c>
      <c r="I124" s="345"/>
      <c r="J124" s="349"/>
      <c r="K124" s="325"/>
      <c r="L124" s="325">
        <f t="shared" si="1"/>
        <v>0</v>
      </c>
      <c r="O124" s="325"/>
      <c r="P124" s="363"/>
      <c r="Q124" s="363"/>
      <c r="R124" s="364"/>
    </row>
    <row r="125" s="326" customFormat="1" ht="16.5" customHeight="1" spans="1:18">
      <c r="A125" s="347" t="s">
        <v>226</v>
      </c>
      <c r="B125" s="348">
        <v>313</v>
      </c>
      <c r="C125" s="348">
        <v>334</v>
      </c>
      <c r="D125" s="349">
        <f>C125/B125*100</f>
        <v>106.709265175719</v>
      </c>
      <c r="E125" s="348">
        <v>312</v>
      </c>
      <c r="F125" s="345">
        <f>C125-E125</f>
        <v>22</v>
      </c>
      <c r="G125" s="346">
        <f>F125/E125*100</f>
        <v>7.05128205128205</v>
      </c>
      <c r="H125" s="348">
        <f>SUM(H126:H131)</f>
        <v>297.559183</v>
      </c>
      <c r="I125" s="345">
        <f>H125-B125</f>
        <v>-15.440817</v>
      </c>
      <c r="J125" s="349">
        <f>I125/B125*100</f>
        <v>-4.93316837060702</v>
      </c>
      <c r="K125" s="325"/>
      <c r="L125" s="325">
        <f t="shared" si="1"/>
        <v>631.559183</v>
      </c>
      <c r="O125" s="325"/>
      <c r="P125" s="363"/>
      <c r="Q125" s="363"/>
      <c r="R125" s="364"/>
    </row>
    <row r="126" ht="16.5" customHeight="1" spans="1:18">
      <c r="A126" s="347" t="s">
        <v>155</v>
      </c>
      <c r="B126" s="348"/>
      <c r="C126" s="348"/>
      <c r="D126" s="349"/>
      <c r="E126" s="348"/>
      <c r="F126" s="345"/>
      <c r="G126" s="346"/>
      <c r="H126" s="348">
        <v>268.889183</v>
      </c>
      <c r="I126" s="345"/>
      <c r="J126" s="349"/>
      <c r="K126" s="325"/>
      <c r="L126" s="325">
        <f t="shared" si="1"/>
        <v>268.889183</v>
      </c>
      <c r="O126" s="325"/>
      <c r="P126" s="363"/>
      <c r="Q126" s="363"/>
      <c r="R126" s="364"/>
    </row>
    <row r="127" ht="16.5" customHeight="1" spans="1:18">
      <c r="A127" s="347" t="s">
        <v>156</v>
      </c>
      <c r="B127" s="348"/>
      <c r="C127" s="348"/>
      <c r="D127" s="349"/>
      <c r="E127" s="348"/>
      <c r="F127" s="345"/>
      <c r="G127" s="346"/>
      <c r="H127" s="348">
        <v>28.67</v>
      </c>
      <c r="I127" s="345"/>
      <c r="J127" s="349"/>
      <c r="K127" s="325"/>
      <c r="L127" s="325">
        <f t="shared" si="1"/>
        <v>28.67</v>
      </c>
      <c r="O127" s="325"/>
      <c r="P127" s="363"/>
      <c r="Q127" s="363"/>
      <c r="R127" s="364"/>
    </row>
    <row r="128" ht="16.5" hidden="1" customHeight="1" spans="1:18">
      <c r="A128" s="347" t="s">
        <v>157</v>
      </c>
      <c r="B128" s="348"/>
      <c r="C128" s="348"/>
      <c r="D128" s="349"/>
      <c r="E128" s="348"/>
      <c r="F128" s="345"/>
      <c r="G128" s="346"/>
      <c r="H128" s="348">
        <v>0</v>
      </c>
      <c r="I128" s="345"/>
      <c r="J128" s="349"/>
      <c r="K128" s="325"/>
      <c r="L128" s="325">
        <f t="shared" si="1"/>
        <v>0</v>
      </c>
      <c r="O128" s="325"/>
      <c r="P128" s="363"/>
      <c r="Q128" s="363"/>
      <c r="R128" s="364"/>
    </row>
    <row r="129" ht="16.5" hidden="1" customHeight="1" spans="1:18">
      <c r="A129" s="347" t="s">
        <v>169</v>
      </c>
      <c r="B129" s="348"/>
      <c r="C129" s="348"/>
      <c r="D129" s="349"/>
      <c r="E129" s="348"/>
      <c r="F129" s="345"/>
      <c r="G129" s="346"/>
      <c r="H129" s="348">
        <v>0</v>
      </c>
      <c r="I129" s="345"/>
      <c r="J129" s="349"/>
      <c r="K129" s="325"/>
      <c r="L129" s="325">
        <f t="shared" si="1"/>
        <v>0</v>
      </c>
      <c r="O129" s="325"/>
      <c r="P129" s="363"/>
      <c r="Q129" s="363"/>
      <c r="R129" s="364"/>
    </row>
    <row r="130" ht="16.5" hidden="1" customHeight="1" spans="1:18">
      <c r="A130" s="347" t="s">
        <v>164</v>
      </c>
      <c r="B130" s="348"/>
      <c r="C130" s="348"/>
      <c r="D130" s="349"/>
      <c r="E130" s="348"/>
      <c r="F130" s="345"/>
      <c r="G130" s="346"/>
      <c r="H130" s="348">
        <v>0</v>
      </c>
      <c r="I130" s="345"/>
      <c r="J130" s="349"/>
      <c r="K130" s="325"/>
      <c r="L130" s="325">
        <f t="shared" si="1"/>
        <v>0</v>
      </c>
      <c r="O130" s="325"/>
      <c r="P130" s="363"/>
      <c r="Q130" s="363"/>
      <c r="R130" s="364"/>
    </row>
    <row r="131" ht="16.5" hidden="1" customHeight="1" spans="1:18">
      <c r="A131" s="347" t="s">
        <v>227</v>
      </c>
      <c r="B131" s="348"/>
      <c r="C131" s="348"/>
      <c r="D131" s="349"/>
      <c r="E131" s="348"/>
      <c r="F131" s="345"/>
      <c r="G131" s="346"/>
      <c r="H131" s="348">
        <v>0</v>
      </c>
      <c r="I131" s="345"/>
      <c r="J131" s="349"/>
      <c r="K131" s="325"/>
      <c r="L131" s="325">
        <f t="shared" si="1"/>
        <v>0</v>
      </c>
      <c r="O131" s="325"/>
      <c r="P131" s="363"/>
      <c r="Q131" s="363"/>
      <c r="R131" s="364"/>
    </row>
    <row r="132" s="326" customFormat="1" ht="16.5" customHeight="1" spans="1:18">
      <c r="A132" s="347" t="s">
        <v>228</v>
      </c>
      <c r="B132" s="348">
        <v>963</v>
      </c>
      <c r="C132" s="348">
        <v>1406</v>
      </c>
      <c r="D132" s="349">
        <f>C132/B132*100</f>
        <v>146.002076843198</v>
      </c>
      <c r="E132" s="348">
        <v>1066</v>
      </c>
      <c r="F132" s="345">
        <f>C132-E132</f>
        <v>340</v>
      </c>
      <c r="G132" s="346">
        <f>F132/E132*100</f>
        <v>31.8949343339587</v>
      </c>
      <c r="H132" s="348">
        <f>SUM(H133:H138)</f>
        <v>1095.399464</v>
      </c>
      <c r="I132" s="345">
        <f>H132-B132</f>
        <v>132.399464</v>
      </c>
      <c r="J132" s="349">
        <f>I132/B132*100</f>
        <v>13.7486463136033</v>
      </c>
      <c r="K132" s="325"/>
      <c r="L132" s="325">
        <f t="shared" si="1"/>
        <v>2501.399464</v>
      </c>
      <c r="O132" s="325"/>
      <c r="P132" s="363"/>
      <c r="Q132" s="363"/>
      <c r="R132" s="364"/>
    </row>
    <row r="133" ht="16.5" customHeight="1" spans="1:18">
      <c r="A133" s="347" t="s">
        <v>155</v>
      </c>
      <c r="B133" s="348"/>
      <c r="C133" s="348"/>
      <c r="D133" s="349"/>
      <c r="E133" s="348"/>
      <c r="F133" s="345"/>
      <c r="G133" s="346"/>
      <c r="H133" s="348">
        <v>785.91946</v>
      </c>
      <c r="I133" s="345"/>
      <c r="J133" s="349"/>
      <c r="K133" s="325"/>
      <c r="L133" s="325">
        <f t="shared" si="1"/>
        <v>785.91946</v>
      </c>
      <c r="O133" s="325"/>
      <c r="P133" s="363"/>
      <c r="Q133" s="363"/>
      <c r="R133" s="364"/>
    </row>
    <row r="134" ht="16.5" customHeight="1" spans="1:18">
      <c r="A134" s="347" t="s">
        <v>156</v>
      </c>
      <c r="B134" s="348"/>
      <c r="C134" s="348"/>
      <c r="D134" s="349"/>
      <c r="E134" s="348"/>
      <c r="F134" s="345"/>
      <c r="G134" s="346"/>
      <c r="H134" s="348">
        <v>57.29</v>
      </c>
      <c r="I134" s="345"/>
      <c r="J134" s="349"/>
      <c r="K134" s="325"/>
      <c r="L134" s="325">
        <f t="shared" si="1"/>
        <v>57.29</v>
      </c>
      <c r="O134" s="325"/>
      <c r="P134" s="363"/>
      <c r="Q134" s="363"/>
      <c r="R134" s="364"/>
    </row>
    <row r="135" ht="16.5" hidden="1" customHeight="1" spans="1:18">
      <c r="A135" s="347" t="s">
        <v>157</v>
      </c>
      <c r="B135" s="348"/>
      <c r="C135" s="348"/>
      <c r="D135" s="349"/>
      <c r="E135" s="348"/>
      <c r="F135" s="345"/>
      <c r="G135" s="346"/>
      <c r="H135" s="348">
        <v>0</v>
      </c>
      <c r="I135" s="345"/>
      <c r="J135" s="349"/>
      <c r="K135" s="325"/>
      <c r="L135" s="325">
        <f t="shared" si="1"/>
        <v>0</v>
      </c>
      <c r="O135" s="325"/>
      <c r="P135" s="363"/>
      <c r="Q135" s="363"/>
      <c r="R135" s="364"/>
    </row>
    <row r="136" ht="16.5" customHeight="1" spans="1:18">
      <c r="A136" s="347" t="s">
        <v>229</v>
      </c>
      <c r="B136" s="348"/>
      <c r="C136" s="348"/>
      <c r="D136" s="349"/>
      <c r="E136" s="348"/>
      <c r="F136" s="345"/>
      <c r="G136" s="346"/>
      <c r="H136" s="348">
        <v>53.33</v>
      </c>
      <c r="I136" s="345"/>
      <c r="J136" s="349"/>
      <c r="K136" s="325"/>
      <c r="L136" s="325">
        <f t="shared" ref="L136:L199" si="2">C136+H136</f>
        <v>53.33</v>
      </c>
      <c r="O136" s="325"/>
      <c r="P136" s="363"/>
      <c r="Q136" s="363"/>
      <c r="R136" s="364"/>
    </row>
    <row r="137" ht="16.5" customHeight="1" spans="1:18">
      <c r="A137" s="347" t="s">
        <v>164</v>
      </c>
      <c r="B137" s="348"/>
      <c r="C137" s="348"/>
      <c r="D137" s="349"/>
      <c r="E137" s="348"/>
      <c r="F137" s="345"/>
      <c r="G137" s="346"/>
      <c r="H137" s="348">
        <v>125.490004</v>
      </c>
      <c r="I137" s="345"/>
      <c r="J137" s="349"/>
      <c r="K137" s="325"/>
      <c r="L137" s="325">
        <f t="shared" si="2"/>
        <v>125.490004</v>
      </c>
      <c r="O137" s="325"/>
      <c r="P137" s="363"/>
      <c r="Q137" s="363"/>
      <c r="R137" s="364"/>
    </row>
    <row r="138" ht="16.5" customHeight="1" spans="1:18">
      <c r="A138" s="347" t="s">
        <v>230</v>
      </c>
      <c r="B138" s="348"/>
      <c r="C138" s="348"/>
      <c r="D138" s="349"/>
      <c r="E138" s="348"/>
      <c r="F138" s="345"/>
      <c r="G138" s="346"/>
      <c r="H138" s="348">
        <v>73.37</v>
      </c>
      <c r="I138" s="345"/>
      <c r="J138" s="349"/>
      <c r="K138" s="325"/>
      <c r="L138" s="325">
        <f t="shared" si="2"/>
        <v>73.37</v>
      </c>
      <c r="O138" s="325"/>
      <c r="P138" s="363"/>
      <c r="Q138" s="363"/>
      <c r="R138" s="364"/>
    </row>
    <row r="139" s="326" customFormat="1" ht="16.5" customHeight="1" spans="1:18">
      <c r="A139" s="347" t="s">
        <v>231</v>
      </c>
      <c r="B139" s="348">
        <v>3329</v>
      </c>
      <c r="C139" s="348">
        <v>4075</v>
      </c>
      <c r="D139" s="349">
        <f>C139/B139*100</f>
        <v>122.409131871433</v>
      </c>
      <c r="E139" s="348">
        <v>3979</v>
      </c>
      <c r="F139" s="345">
        <f>C139-E139</f>
        <v>96</v>
      </c>
      <c r="G139" s="346">
        <f>F139/E139*100</f>
        <v>2.41266649912038</v>
      </c>
      <c r="H139" s="348">
        <f>SUM(H140:H145)</f>
        <v>3556.19601</v>
      </c>
      <c r="I139" s="345">
        <f>H139-B139</f>
        <v>227.19601</v>
      </c>
      <c r="J139" s="349">
        <f>I139/B139*100</f>
        <v>6.82475247822169</v>
      </c>
      <c r="K139" s="325"/>
      <c r="L139" s="325">
        <f t="shared" si="2"/>
        <v>7631.19601</v>
      </c>
      <c r="O139" s="325"/>
      <c r="P139" s="363"/>
      <c r="Q139" s="363"/>
      <c r="R139" s="364"/>
    </row>
    <row r="140" ht="16.5" customHeight="1" spans="1:18">
      <c r="A140" s="347" t="s">
        <v>155</v>
      </c>
      <c r="B140" s="348"/>
      <c r="C140" s="348"/>
      <c r="D140" s="349"/>
      <c r="E140" s="348"/>
      <c r="F140" s="345"/>
      <c r="G140" s="346"/>
      <c r="H140" s="348">
        <v>3171.570956</v>
      </c>
      <c r="I140" s="345"/>
      <c r="J140" s="349"/>
      <c r="K140" s="325"/>
      <c r="L140" s="325">
        <f t="shared" si="2"/>
        <v>3171.570956</v>
      </c>
      <c r="O140" s="325"/>
      <c r="P140" s="363"/>
      <c r="Q140" s="363"/>
      <c r="R140" s="364"/>
    </row>
    <row r="141" ht="16.5" customHeight="1" spans="1:18">
      <c r="A141" s="347" t="s">
        <v>156</v>
      </c>
      <c r="B141" s="348"/>
      <c r="C141" s="348"/>
      <c r="D141" s="349"/>
      <c r="E141" s="348"/>
      <c r="F141" s="345"/>
      <c r="G141" s="346"/>
      <c r="H141" s="348">
        <v>276.91006</v>
      </c>
      <c r="I141" s="345"/>
      <c r="J141" s="349"/>
      <c r="K141" s="325"/>
      <c r="L141" s="325">
        <f t="shared" si="2"/>
        <v>276.91006</v>
      </c>
      <c r="O141" s="325"/>
      <c r="P141" s="363"/>
      <c r="Q141" s="363"/>
      <c r="R141" s="364"/>
    </row>
    <row r="142" ht="16.5" hidden="1" customHeight="1" spans="1:18">
      <c r="A142" s="347" t="s">
        <v>157</v>
      </c>
      <c r="B142" s="348"/>
      <c r="C142" s="348"/>
      <c r="D142" s="349"/>
      <c r="E142" s="348"/>
      <c r="F142" s="345"/>
      <c r="G142" s="346"/>
      <c r="H142" s="348">
        <v>0</v>
      </c>
      <c r="I142" s="345"/>
      <c r="J142" s="349"/>
      <c r="K142" s="325"/>
      <c r="L142" s="325">
        <f t="shared" si="2"/>
        <v>0</v>
      </c>
      <c r="O142" s="325"/>
      <c r="P142" s="363"/>
      <c r="Q142" s="363"/>
      <c r="R142" s="364"/>
    </row>
    <row r="143" ht="16.5" customHeight="1" spans="1:18">
      <c r="A143" s="347" t="s">
        <v>232</v>
      </c>
      <c r="B143" s="348"/>
      <c r="C143" s="348"/>
      <c r="D143" s="349"/>
      <c r="E143" s="348"/>
      <c r="F143" s="345"/>
      <c r="G143" s="346"/>
      <c r="H143" s="348">
        <v>10.96</v>
      </c>
      <c r="I143" s="345"/>
      <c r="J143" s="349"/>
      <c r="K143" s="325"/>
      <c r="L143" s="325">
        <f t="shared" si="2"/>
        <v>10.96</v>
      </c>
      <c r="O143" s="325"/>
      <c r="P143" s="363"/>
      <c r="Q143" s="363"/>
      <c r="R143" s="364"/>
    </row>
    <row r="144" ht="16.5" customHeight="1" spans="1:18">
      <c r="A144" s="347" t="s">
        <v>164</v>
      </c>
      <c r="B144" s="348"/>
      <c r="C144" s="348"/>
      <c r="D144" s="349"/>
      <c r="E144" s="348"/>
      <c r="F144" s="345"/>
      <c r="G144" s="346"/>
      <c r="H144" s="348">
        <v>65.754994</v>
      </c>
      <c r="I144" s="345"/>
      <c r="J144" s="349"/>
      <c r="K144" s="325"/>
      <c r="L144" s="325">
        <f t="shared" si="2"/>
        <v>65.754994</v>
      </c>
      <c r="O144" s="325"/>
      <c r="P144" s="363"/>
      <c r="Q144" s="363"/>
      <c r="R144" s="364"/>
    </row>
    <row r="145" ht="16.5" customHeight="1" spans="1:18">
      <c r="A145" s="347" t="s">
        <v>233</v>
      </c>
      <c r="B145" s="348"/>
      <c r="C145" s="348"/>
      <c r="D145" s="349"/>
      <c r="E145" s="348"/>
      <c r="F145" s="345"/>
      <c r="G145" s="346"/>
      <c r="H145" s="348">
        <v>31</v>
      </c>
      <c r="I145" s="345"/>
      <c r="J145" s="349"/>
      <c r="K145" s="325"/>
      <c r="L145" s="325">
        <f t="shared" si="2"/>
        <v>31</v>
      </c>
      <c r="O145" s="325"/>
      <c r="P145" s="363"/>
      <c r="Q145" s="363"/>
      <c r="R145" s="364"/>
    </row>
    <row r="146" s="326" customFormat="1" ht="16.5" customHeight="1" spans="1:18">
      <c r="A146" s="347" t="s">
        <v>234</v>
      </c>
      <c r="B146" s="348">
        <v>7959</v>
      </c>
      <c r="C146" s="348">
        <v>1557</v>
      </c>
      <c r="D146" s="349">
        <f>C146/B146*100</f>
        <v>19.5627591405955</v>
      </c>
      <c r="E146" s="348">
        <v>1896</v>
      </c>
      <c r="F146" s="345">
        <f>C146-E146</f>
        <v>-339</v>
      </c>
      <c r="G146" s="346">
        <f>F146/E146*100</f>
        <v>-17.879746835443</v>
      </c>
      <c r="H146" s="348">
        <f>SUM(H147:H152)</f>
        <v>1586.02641</v>
      </c>
      <c r="I146" s="345">
        <f>H146-B146</f>
        <v>-6372.97359</v>
      </c>
      <c r="J146" s="349">
        <f>I146/B146*100</f>
        <v>-80.0725416509612</v>
      </c>
      <c r="K146" s="325"/>
      <c r="L146" s="325">
        <f t="shared" si="2"/>
        <v>3143.02641</v>
      </c>
      <c r="O146" s="325"/>
      <c r="P146" s="363"/>
      <c r="Q146" s="363"/>
      <c r="R146" s="364"/>
    </row>
    <row r="147" ht="16.5" customHeight="1" spans="1:18">
      <c r="A147" s="347" t="s">
        <v>155</v>
      </c>
      <c r="B147" s="348"/>
      <c r="C147" s="348"/>
      <c r="D147" s="349"/>
      <c r="E147" s="348"/>
      <c r="F147" s="345"/>
      <c r="G147" s="346"/>
      <c r="H147" s="348">
        <v>1543.02641</v>
      </c>
      <c r="I147" s="345"/>
      <c r="J147" s="349"/>
      <c r="K147" s="325"/>
      <c r="L147" s="325">
        <f t="shared" si="2"/>
        <v>1543.02641</v>
      </c>
      <c r="O147" s="325"/>
      <c r="P147" s="363"/>
      <c r="Q147" s="363"/>
      <c r="R147" s="364"/>
    </row>
    <row r="148" ht="16.5" hidden="1" customHeight="1" spans="1:18">
      <c r="A148" s="347" t="s">
        <v>156</v>
      </c>
      <c r="B148" s="348"/>
      <c r="C148" s="348"/>
      <c r="D148" s="349"/>
      <c r="E148" s="348"/>
      <c r="F148" s="345"/>
      <c r="G148" s="346"/>
      <c r="H148" s="348">
        <v>0</v>
      </c>
      <c r="I148" s="345"/>
      <c r="J148" s="349"/>
      <c r="K148" s="325"/>
      <c r="L148" s="325">
        <f t="shared" si="2"/>
        <v>0</v>
      </c>
      <c r="O148" s="325"/>
      <c r="P148" s="363"/>
      <c r="Q148" s="363"/>
      <c r="R148" s="364"/>
    </row>
    <row r="149" ht="16.5" hidden="1" customHeight="1" spans="1:18">
      <c r="A149" s="347" t="s">
        <v>157</v>
      </c>
      <c r="B149" s="348"/>
      <c r="C149" s="348"/>
      <c r="D149" s="349"/>
      <c r="E149" s="348"/>
      <c r="F149" s="345"/>
      <c r="G149" s="346"/>
      <c r="H149" s="348">
        <v>0</v>
      </c>
      <c r="I149" s="345"/>
      <c r="J149" s="349"/>
      <c r="K149" s="325"/>
      <c r="L149" s="325">
        <f t="shared" si="2"/>
        <v>0</v>
      </c>
      <c r="O149" s="325"/>
      <c r="P149" s="363"/>
      <c r="Q149" s="363"/>
      <c r="R149" s="364"/>
    </row>
    <row r="150" ht="16.5" customHeight="1" spans="1:18">
      <c r="A150" s="347" t="s">
        <v>235</v>
      </c>
      <c r="B150" s="348"/>
      <c r="C150" s="348"/>
      <c r="D150" s="349"/>
      <c r="E150" s="348"/>
      <c r="F150" s="345"/>
      <c r="G150" s="346"/>
      <c r="H150" s="348">
        <v>43</v>
      </c>
      <c r="I150" s="345"/>
      <c r="J150" s="349"/>
      <c r="K150" s="325"/>
      <c r="L150" s="325">
        <f t="shared" si="2"/>
        <v>43</v>
      </c>
      <c r="O150" s="325"/>
      <c r="P150" s="363"/>
      <c r="Q150" s="363"/>
      <c r="R150" s="364"/>
    </row>
    <row r="151" ht="16.5" hidden="1" customHeight="1" spans="1:18">
      <c r="A151" s="347" t="s">
        <v>164</v>
      </c>
      <c r="B151" s="348"/>
      <c r="C151" s="348"/>
      <c r="D151" s="349"/>
      <c r="E151" s="348"/>
      <c r="F151" s="345"/>
      <c r="G151" s="346"/>
      <c r="H151" s="348">
        <v>0</v>
      </c>
      <c r="I151" s="345"/>
      <c r="J151" s="349"/>
      <c r="K151" s="325"/>
      <c r="L151" s="325">
        <f t="shared" si="2"/>
        <v>0</v>
      </c>
      <c r="O151" s="325"/>
      <c r="P151" s="363"/>
      <c r="Q151" s="363"/>
      <c r="R151" s="364"/>
    </row>
    <row r="152" ht="16.5" hidden="1" customHeight="1" spans="1:18">
      <c r="A152" s="347" t="s">
        <v>236</v>
      </c>
      <c r="B152" s="348"/>
      <c r="C152" s="348"/>
      <c r="D152" s="349"/>
      <c r="E152" s="348"/>
      <c r="F152" s="345"/>
      <c r="G152" s="346"/>
      <c r="H152" s="348">
        <v>0</v>
      </c>
      <c r="I152" s="345"/>
      <c r="J152" s="349"/>
      <c r="K152" s="325"/>
      <c r="L152" s="325">
        <f t="shared" si="2"/>
        <v>0</v>
      </c>
      <c r="O152" s="325"/>
      <c r="P152" s="363"/>
      <c r="Q152" s="363"/>
      <c r="R152" s="364"/>
    </row>
    <row r="153" s="326" customFormat="1" ht="16.5" customHeight="1" spans="1:18">
      <c r="A153" s="347" t="s">
        <v>237</v>
      </c>
      <c r="B153" s="348">
        <v>1073</v>
      </c>
      <c r="C153" s="348">
        <v>827</v>
      </c>
      <c r="D153" s="349">
        <f>C153/B153*100</f>
        <v>77.0736253494874</v>
      </c>
      <c r="E153" s="348">
        <v>1804</v>
      </c>
      <c r="F153" s="345">
        <f>C153-E153</f>
        <v>-977</v>
      </c>
      <c r="G153" s="346">
        <f>F153/E153*100</f>
        <v>-54.1574279379157</v>
      </c>
      <c r="H153" s="348">
        <f>SUM(H154:H159)</f>
        <v>831.495617</v>
      </c>
      <c r="I153" s="345">
        <f>H153-B153</f>
        <v>-241.504383</v>
      </c>
      <c r="J153" s="349">
        <f>I153/B153*100</f>
        <v>-22.5073982292637</v>
      </c>
      <c r="K153" s="325"/>
      <c r="L153" s="325">
        <f t="shared" si="2"/>
        <v>1658.495617</v>
      </c>
      <c r="O153" s="325"/>
      <c r="P153" s="363"/>
      <c r="Q153" s="363"/>
      <c r="R153" s="364"/>
    </row>
    <row r="154" ht="16.5" customHeight="1" spans="1:18">
      <c r="A154" s="347" t="s">
        <v>155</v>
      </c>
      <c r="B154" s="348"/>
      <c r="C154" s="348"/>
      <c r="D154" s="349"/>
      <c r="E154" s="348"/>
      <c r="F154" s="345"/>
      <c r="G154" s="346"/>
      <c r="H154" s="348">
        <v>378.14091</v>
      </c>
      <c r="I154" s="345"/>
      <c r="J154" s="349"/>
      <c r="K154" s="325"/>
      <c r="L154" s="325">
        <f t="shared" si="2"/>
        <v>378.14091</v>
      </c>
      <c r="O154" s="325"/>
      <c r="P154" s="363"/>
      <c r="Q154" s="363"/>
      <c r="R154" s="364"/>
    </row>
    <row r="155" ht="16.5" customHeight="1" spans="1:18">
      <c r="A155" s="347" t="s">
        <v>156</v>
      </c>
      <c r="B155" s="348"/>
      <c r="C155" s="348"/>
      <c r="D155" s="349"/>
      <c r="E155" s="348"/>
      <c r="F155" s="345"/>
      <c r="G155" s="346"/>
      <c r="H155" s="348">
        <v>117.0672</v>
      </c>
      <c r="I155" s="345"/>
      <c r="J155" s="349"/>
      <c r="K155" s="325"/>
      <c r="L155" s="325">
        <f t="shared" si="2"/>
        <v>117.0672</v>
      </c>
      <c r="O155" s="325"/>
      <c r="P155" s="363"/>
      <c r="Q155" s="363"/>
      <c r="R155" s="364"/>
    </row>
    <row r="156" ht="16.5" hidden="1" customHeight="1" spans="1:18">
      <c r="A156" s="347" t="s">
        <v>157</v>
      </c>
      <c r="B156" s="348"/>
      <c r="C156" s="348"/>
      <c r="D156" s="349"/>
      <c r="E156" s="348"/>
      <c r="F156" s="345"/>
      <c r="G156" s="346"/>
      <c r="H156" s="348">
        <v>0</v>
      </c>
      <c r="I156" s="345"/>
      <c r="J156" s="349"/>
      <c r="K156" s="325"/>
      <c r="L156" s="325">
        <f t="shared" si="2"/>
        <v>0</v>
      </c>
      <c r="O156" s="325"/>
      <c r="P156" s="363"/>
      <c r="Q156" s="363"/>
      <c r="R156" s="364"/>
    </row>
    <row r="157" ht="16.5" hidden="1" customHeight="1" spans="1:18">
      <c r="A157" s="347" t="s">
        <v>238</v>
      </c>
      <c r="B157" s="348"/>
      <c r="C157" s="348"/>
      <c r="D157" s="349"/>
      <c r="E157" s="348"/>
      <c r="F157" s="345"/>
      <c r="G157" s="346"/>
      <c r="H157" s="348">
        <v>0</v>
      </c>
      <c r="I157" s="345"/>
      <c r="J157" s="349"/>
      <c r="K157" s="325"/>
      <c r="L157" s="325">
        <f t="shared" si="2"/>
        <v>0</v>
      </c>
      <c r="O157" s="325"/>
      <c r="P157" s="363"/>
      <c r="Q157" s="363"/>
      <c r="R157" s="364"/>
    </row>
    <row r="158" ht="16.5" customHeight="1" spans="1:18">
      <c r="A158" s="347" t="s">
        <v>164</v>
      </c>
      <c r="B158" s="348"/>
      <c r="C158" s="348"/>
      <c r="D158" s="349"/>
      <c r="E158" s="348"/>
      <c r="F158" s="345"/>
      <c r="G158" s="346"/>
      <c r="H158" s="348">
        <v>12.6</v>
      </c>
      <c r="I158" s="345"/>
      <c r="J158" s="349"/>
      <c r="K158" s="325"/>
      <c r="L158" s="325">
        <f t="shared" si="2"/>
        <v>12.6</v>
      </c>
      <c r="O158" s="325"/>
      <c r="P158" s="363"/>
      <c r="Q158" s="363"/>
      <c r="R158" s="364"/>
    </row>
    <row r="159" ht="16.5" customHeight="1" spans="1:18">
      <c r="A159" s="347" t="s">
        <v>239</v>
      </c>
      <c r="B159" s="348"/>
      <c r="C159" s="348"/>
      <c r="D159" s="349"/>
      <c r="E159" s="348"/>
      <c r="F159" s="345"/>
      <c r="G159" s="346"/>
      <c r="H159" s="348">
        <v>323.687507</v>
      </c>
      <c r="I159" s="345"/>
      <c r="J159" s="349"/>
      <c r="K159" s="325"/>
      <c r="L159" s="325">
        <f t="shared" si="2"/>
        <v>323.687507</v>
      </c>
      <c r="O159" s="325"/>
      <c r="P159" s="363"/>
      <c r="Q159" s="363"/>
      <c r="R159" s="364"/>
    </row>
    <row r="160" s="326" customFormat="1" ht="16.5" customHeight="1" spans="1:18">
      <c r="A160" s="347" t="s">
        <v>240</v>
      </c>
      <c r="B160" s="348">
        <v>916</v>
      </c>
      <c r="C160" s="348">
        <v>901</v>
      </c>
      <c r="D160" s="349">
        <f>C160/B160*100</f>
        <v>98.3624454148472</v>
      </c>
      <c r="E160" s="348">
        <v>916</v>
      </c>
      <c r="F160" s="345">
        <f>C160-E160</f>
        <v>-15</v>
      </c>
      <c r="G160" s="346">
        <f>F160/E160*100</f>
        <v>-1.63755458515284</v>
      </c>
      <c r="H160" s="348">
        <f>SUM(H161:H167)</f>
        <v>690.449178</v>
      </c>
      <c r="I160" s="345">
        <f>H160-B160</f>
        <v>-225.550822</v>
      </c>
      <c r="J160" s="349">
        <f>I160/B160*100</f>
        <v>-24.6234521834061</v>
      </c>
      <c r="K160" s="325"/>
      <c r="L160" s="325">
        <f t="shared" si="2"/>
        <v>1591.449178</v>
      </c>
      <c r="O160" s="325"/>
      <c r="P160" s="363"/>
      <c r="Q160" s="363"/>
      <c r="R160" s="364"/>
    </row>
    <row r="161" ht="16.5" customHeight="1" spans="1:18">
      <c r="A161" s="347" t="s">
        <v>155</v>
      </c>
      <c r="B161" s="348"/>
      <c r="C161" s="348"/>
      <c r="D161" s="349"/>
      <c r="E161" s="348"/>
      <c r="F161" s="345"/>
      <c r="G161" s="346"/>
      <c r="H161" s="348">
        <v>517.282979</v>
      </c>
      <c r="I161" s="345"/>
      <c r="J161" s="349"/>
      <c r="K161" s="325"/>
      <c r="L161" s="325">
        <f t="shared" si="2"/>
        <v>517.282979</v>
      </c>
      <c r="O161" s="325"/>
      <c r="P161" s="363"/>
      <c r="Q161" s="363"/>
      <c r="R161" s="364"/>
    </row>
    <row r="162" ht="16.5" customHeight="1" spans="1:18">
      <c r="A162" s="347" t="s">
        <v>156</v>
      </c>
      <c r="B162" s="348"/>
      <c r="C162" s="348"/>
      <c r="D162" s="349"/>
      <c r="E162" s="348"/>
      <c r="F162" s="345"/>
      <c r="G162" s="346"/>
      <c r="H162" s="348">
        <v>128.2</v>
      </c>
      <c r="I162" s="345"/>
      <c r="J162" s="349"/>
      <c r="K162" s="325"/>
      <c r="L162" s="325">
        <f t="shared" si="2"/>
        <v>128.2</v>
      </c>
      <c r="O162" s="325"/>
      <c r="P162" s="363"/>
      <c r="Q162" s="363"/>
      <c r="R162" s="364"/>
    </row>
    <row r="163" ht="16.5" hidden="1" customHeight="1" spans="1:18">
      <c r="A163" s="347" t="s">
        <v>157</v>
      </c>
      <c r="B163" s="348"/>
      <c r="C163" s="348"/>
      <c r="D163" s="349"/>
      <c r="E163" s="348"/>
      <c r="F163" s="345"/>
      <c r="G163" s="346"/>
      <c r="H163" s="348">
        <v>0</v>
      </c>
      <c r="I163" s="345"/>
      <c r="J163" s="349"/>
      <c r="K163" s="325"/>
      <c r="L163" s="325">
        <f t="shared" si="2"/>
        <v>0</v>
      </c>
      <c r="O163" s="325"/>
      <c r="P163" s="363"/>
      <c r="Q163" s="363"/>
      <c r="R163" s="364"/>
    </row>
    <row r="164" ht="16.5" customHeight="1" spans="1:18">
      <c r="A164" s="347" t="s">
        <v>241</v>
      </c>
      <c r="B164" s="348"/>
      <c r="C164" s="348"/>
      <c r="D164" s="349"/>
      <c r="E164" s="348"/>
      <c r="F164" s="345"/>
      <c r="G164" s="346"/>
      <c r="H164" s="348">
        <v>3.9</v>
      </c>
      <c r="I164" s="345"/>
      <c r="J164" s="349"/>
      <c r="K164" s="325"/>
      <c r="L164" s="325">
        <f t="shared" si="2"/>
        <v>3.9</v>
      </c>
      <c r="O164" s="325"/>
      <c r="P164" s="363"/>
      <c r="Q164" s="363"/>
      <c r="R164" s="364"/>
    </row>
    <row r="165" ht="16.5" hidden="1" customHeight="1" spans="1:18">
      <c r="A165" s="347" t="s">
        <v>242</v>
      </c>
      <c r="B165" s="366"/>
      <c r="C165" s="366"/>
      <c r="D165" s="349"/>
      <c r="E165" s="366"/>
      <c r="F165" s="366"/>
      <c r="G165" s="366"/>
      <c r="H165" s="348">
        <v>0</v>
      </c>
      <c r="I165" s="345"/>
      <c r="J165" s="349"/>
      <c r="K165" s="325"/>
      <c r="L165" s="325">
        <f t="shared" si="2"/>
        <v>0</v>
      </c>
      <c r="O165" s="325"/>
      <c r="P165" s="363"/>
      <c r="Q165" s="363"/>
      <c r="R165" s="364"/>
    </row>
    <row r="166" ht="16.5" customHeight="1" spans="1:18">
      <c r="A166" s="347" t="s">
        <v>164</v>
      </c>
      <c r="B166" s="366"/>
      <c r="C166" s="366"/>
      <c r="D166" s="349"/>
      <c r="E166" s="366"/>
      <c r="F166" s="366"/>
      <c r="G166" s="366"/>
      <c r="H166" s="348">
        <v>41.066199</v>
      </c>
      <c r="I166" s="345"/>
      <c r="J166" s="349"/>
      <c r="K166" s="325"/>
      <c r="L166" s="325">
        <f t="shared" si="2"/>
        <v>41.066199</v>
      </c>
      <c r="O166" s="325"/>
      <c r="P166" s="363"/>
      <c r="Q166" s="363"/>
      <c r="R166" s="364"/>
    </row>
    <row r="167" ht="16.5" hidden="1" customHeight="1" spans="1:18">
      <c r="A167" s="347" t="s">
        <v>243</v>
      </c>
      <c r="B167" s="348"/>
      <c r="C167" s="348"/>
      <c r="D167" s="349"/>
      <c r="E167" s="348"/>
      <c r="F167" s="345"/>
      <c r="G167" s="346"/>
      <c r="H167" s="348">
        <v>0</v>
      </c>
      <c r="I167" s="345"/>
      <c r="J167" s="349"/>
      <c r="K167" s="325"/>
      <c r="L167" s="325">
        <f t="shared" si="2"/>
        <v>0</v>
      </c>
      <c r="O167" s="325"/>
      <c r="P167" s="363"/>
      <c r="Q167" s="363"/>
      <c r="R167" s="364"/>
    </row>
    <row r="168" s="326" customFormat="1" ht="16.5" hidden="1" customHeight="1" spans="1:18">
      <c r="A168" s="347" t="s">
        <v>244</v>
      </c>
      <c r="B168" s="348"/>
      <c r="C168" s="348"/>
      <c r="D168" s="349"/>
      <c r="E168" s="348"/>
      <c r="F168" s="345">
        <f>C168-E168</f>
        <v>0</v>
      </c>
      <c r="G168" s="346"/>
      <c r="H168" s="348"/>
      <c r="I168" s="345">
        <f>H168-B168</f>
        <v>0</v>
      </c>
      <c r="J168" s="349"/>
      <c r="K168" s="325"/>
      <c r="L168" s="325">
        <f t="shared" si="2"/>
        <v>0</v>
      </c>
      <c r="O168" s="325"/>
      <c r="P168" s="363"/>
      <c r="Q168" s="363"/>
      <c r="R168" s="364"/>
    </row>
    <row r="169" ht="16.5" hidden="1" customHeight="1" spans="1:18">
      <c r="A169" s="347" t="s">
        <v>155</v>
      </c>
      <c r="B169" s="348"/>
      <c r="C169" s="348"/>
      <c r="D169" s="349"/>
      <c r="E169" s="348"/>
      <c r="F169" s="345"/>
      <c r="G169" s="346"/>
      <c r="H169" s="348"/>
      <c r="I169" s="345"/>
      <c r="J169" s="349"/>
      <c r="K169" s="325"/>
      <c r="L169" s="325">
        <f t="shared" si="2"/>
        <v>0</v>
      </c>
      <c r="O169" s="325"/>
      <c r="P169" s="363"/>
      <c r="Q169" s="363"/>
      <c r="R169" s="364"/>
    </row>
    <row r="170" ht="16.5" hidden="1" customHeight="1" spans="1:18">
      <c r="A170" s="347" t="s">
        <v>156</v>
      </c>
      <c r="B170" s="348"/>
      <c r="C170" s="348"/>
      <c r="D170" s="349"/>
      <c r="E170" s="348"/>
      <c r="F170" s="345"/>
      <c r="G170" s="346"/>
      <c r="H170" s="348"/>
      <c r="I170" s="345"/>
      <c r="J170" s="349"/>
      <c r="K170" s="325"/>
      <c r="L170" s="325">
        <f t="shared" si="2"/>
        <v>0</v>
      </c>
      <c r="O170" s="325"/>
      <c r="P170" s="363"/>
      <c r="Q170" s="363"/>
      <c r="R170" s="364"/>
    </row>
    <row r="171" ht="16.5" hidden="1" customHeight="1" spans="1:18">
      <c r="A171" s="347" t="s">
        <v>157</v>
      </c>
      <c r="B171" s="348"/>
      <c r="C171" s="348"/>
      <c r="D171" s="349"/>
      <c r="E171" s="348"/>
      <c r="F171" s="345"/>
      <c r="G171" s="346"/>
      <c r="H171" s="348"/>
      <c r="I171" s="345"/>
      <c r="J171" s="349"/>
      <c r="K171" s="325"/>
      <c r="L171" s="325">
        <f t="shared" si="2"/>
        <v>0</v>
      </c>
      <c r="O171" s="325"/>
      <c r="P171" s="363"/>
      <c r="Q171" s="363"/>
      <c r="R171" s="364"/>
    </row>
    <row r="172" ht="16.5" hidden="1" customHeight="1" spans="1:18">
      <c r="A172" s="347" t="s">
        <v>164</v>
      </c>
      <c r="B172" s="348"/>
      <c r="C172" s="348"/>
      <c r="D172" s="349"/>
      <c r="E172" s="348"/>
      <c r="F172" s="345"/>
      <c r="G172" s="346"/>
      <c r="H172" s="348"/>
      <c r="I172" s="345"/>
      <c r="J172" s="349"/>
      <c r="K172" s="325"/>
      <c r="L172" s="325">
        <f t="shared" si="2"/>
        <v>0</v>
      </c>
      <c r="O172" s="325"/>
      <c r="P172" s="363"/>
      <c r="Q172" s="363"/>
      <c r="R172" s="364"/>
    </row>
    <row r="173" ht="16.5" hidden="1" customHeight="1" spans="1:18">
      <c r="A173" s="347" t="s">
        <v>245</v>
      </c>
      <c r="B173" s="348"/>
      <c r="C173" s="348"/>
      <c r="D173" s="349"/>
      <c r="E173" s="348"/>
      <c r="F173" s="345"/>
      <c r="G173" s="346"/>
      <c r="H173" s="348"/>
      <c r="I173" s="345"/>
      <c r="J173" s="349"/>
      <c r="K173" s="325"/>
      <c r="L173" s="325">
        <f t="shared" si="2"/>
        <v>0</v>
      </c>
      <c r="O173" s="325"/>
      <c r="P173" s="363"/>
      <c r="Q173" s="363"/>
      <c r="R173" s="364"/>
    </row>
    <row r="174" s="326" customFormat="1" ht="16.5" customHeight="1" spans="1:18">
      <c r="A174" s="347" t="s">
        <v>246</v>
      </c>
      <c r="B174" s="348">
        <v>1008</v>
      </c>
      <c r="C174" s="348">
        <v>598</v>
      </c>
      <c r="D174" s="349">
        <f>C174/B174*100</f>
        <v>59.3253968253968</v>
      </c>
      <c r="E174" s="348">
        <v>850</v>
      </c>
      <c r="F174" s="345">
        <f>C174-E174</f>
        <v>-252</v>
      </c>
      <c r="G174" s="346">
        <f>F174/E174*100</f>
        <v>-29.6470588235294</v>
      </c>
      <c r="H174" s="348">
        <f>SUM(H175:H179)</f>
        <v>534.176211</v>
      </c>
      <c r="I174" s="345">
        <f>H174-B174</f>
        <v>-473.823789</v>
      </c>
      <c r="J174" s="349">
        <f>I174/B174*100</f>
        <v>-47.0063282738095</v>
      </c>
      <c r="K174" s="325"/>
      <c r="L174" s="325">
        <f t="shared" si="2"/>
        <v>1132.176211</v>
      </c>
      <c r="O174" s="325"/>
      <c r="P174" s="363"/>
      <c r="Q174" s="363"/>
      <c r="R174" s="364"/>
    </row>
    <row r="175" ht="16.5" customHeight="1" spans="1:18">
      <c r="A175" s="347" t="s">
        <v>155</v>
      </c>
      <c r="B175" s="348"/>
      <c r="C175" s="348"/>
      <c r="D175" s="349"/>
      <c r="E175" s="348"/>
      <c r="F175" s="345"/>
      <c r="G175" s="346"/>
      <c r="H175" s="348">
        <v>458.834282</v>
      </c>
      <c r="I175" s="345"/>
      <c r="J175" s="349"/>
      <c r="K175" s="325"/>
      <c r="L175" s="325">
        <f t="shared" si="2"/>
        <v>458.834282</v>
      </c>
      <c r="O175" s="325"/>
      <c r="P175" s="363"/>
      <c r="Q175" s="363"/>
      <c r="R175" s="364"/>
    </row>
    <row r="176" ht="16.5" customHeight="1" spans="1:18">
      <c r="A176" s="347" t="s">
        <v>156</v>
      </c>
      <c r="B176" s="348"/>
      <c r="C176" s="348"/>
      <c r="D176" s="349"/>
      <c r="E176" s="348"/>
      <c r="F176" s="345"/>
      <c r="G176" s="346"/>
      <c r="H176" s="348">
        <v>27.2</v>
      </c>
      <c r="I176" s="345"/>
      <c r="J176" s="349"/>
      <c r="K176" s="325"/>
      <c r="L176" s="325">
        <f t="shared" si="2"/>
        <v>27.2</v>
      </c>
      <c r="O176" s="325"/>
      <c r="P176" s="363"/>
      <c r="Q176" s="363"/>
      <c r="R176" s="364"/>
    </row>
    <row r="177" ht="16.5" customHeight="1" spans="1:18">
      <c r="A177" s="347" t="s">
        <v>157</v>
      </c>
      <c r="B177" s="348"/>
      <c r="C177" s="348"/>
      <c r="D177" s="349"/>
      <c r="E177" s="348"/>
      <c r="F177" s="345"/>
      <c r="G177" s="346"/>
      <c r="H177" s="348">
        <v>32.976329</v>
      </c>
      <c r="I177" s="345"/>
      <c r="J177" s="349"/>
      <c r="K177" s="325"/>
      <c r="L177" s="325">
        <f t="shared" si="2"/>
        <v>32.976329</v>
      </c>
      <c r="O177" s="325"/>
      <c r="P177" s="363"/>
      <c r="Q177" s="363"/>
      <c r="R177" s="364"/>
    </row>
    <row r="178" ht="16.5" customHeight="1" spans="1:18">
      <c r="A178" s="347" t="s">
        <v>164</v>
      </c>
      <c r="B178" s="348"/>
      <c r="C178" s="348"/>
      <c r="D178" s="349"/>
      <c r="E178" s="348"/>
      <c r="F178" s="345"/>
      <c r="G178" s="346"/>
      <c r="H178" s="348">
        <v>15.1656</v>
      </c>
      <c r="I178" s="345"/>
      <c r="J178" s="349"/>
      <c r="K178" s="325"/>
      <c r="L178" s="325">
        <f t="shared" si="2"/>
        <v>15.1656</v>
      </c>
      <c r="O178" s="325"/>
      <c r="P178" s="363"/>
      <c r="Q178" s="363"/>
      <c r="R178" s="364"/>
    </row>
    <row r="179" ht="16.5" hidden="1" customHeight="1" spans="1:18">
      <c r="A179" s="347" t="s">
        <v>247</v>
      </c>
      <c r="B179" s="348"/>
      <c r="C179" s="348"/>
      <c r="D179" s="349"/>
      <c r="E179" s="348"/>
      <c r="F179" s="345"/>
      <c r="G179" s="346"/>
      <c r="H179" s="348">
        <v>0</v>
      </c>
      <c r="I179" s="345"/>
      <c r="J179" s="349"/>
      <c r="K179" s="325"/>
      <c r="L179" s="325">
        <f t="shared" si="2"/>
        <v>0</v>
      </c>
      <c r="O179" s="325"/>
      <c r="P179" s="363"/>
      <c r="Q179" s="363"/>
      <c r="R179" s="364"/>
    </row>
    <row r="180" s="326" customFormat="1" ht="16.5" customHeight="1" spans="1:18">
      <c r="A180" s="347" t="s">
        <v>248</v>
      </c>
      <c r="B180" s="367">
        <v>283</v>
      </c>
      <c r="C180" s="367">
        <v>281</v>
      </c>
      <c r="D180" s="349">
        <f>C180/B180*100</f>
        <v>99.2932862190813</v>
      </c>
      <c r="E180" s="348">
        <v>209</v>
      </c>
      <c r="F180" s="345">
        <f>C180-E180</f>
        <v>72</v>
      </c>
      <c r="G180" s="346">
        <f>F180/E180*100</f>
        <v>34.4497607655502</v>
      </c>
      <c r="H180" s="348">
        <f>SUM(H181:H186)</f>
        <v>285.673966</v>
      </c>
      <c r="I180" s="366">
        <f>H180-B180</f>
        <v>2.67396600000001</v>
      </c>
      <c r="J180" s="349">
        <f>I180/B180*100</f>
        <v>0.944864310954066</v>
      </c>
      <c r="K180" s="325"/>
      <c r="L180" s="325">
        <f t="shared" si="2"/>
        <v>566.673966</v>
      </c>
      <c r="O180" s="325"/>
      <c r="P180" s="363"/>
      <c r="Q180" s="363"/>
      <c r="R180" s="364"/>
    </row>
    <row r="181" ht="16.5" customHeight="1" spans="1:18">
      <c r="A181" s="347" t="s">
        <v>155</v>
      </c>
      <c r="B181" s="366"/>
      <c r="C181" s="366"/>
      <c r="D181" s="349"/>
      <c r="E181" s="366"/>
      <c r="F181" s="366"/>
      <c r="G181" s="368"/>
      <c r="H181" s="348">
        <v>284.617966</v>
      </c>
      <c r="I181" s="366"/>
      <c r="J181" s="349"/>
      <c r="K181" s="325"/>
      <c r="L181" s="325">
        <f t="shared" si="2"/>
        <v>284.617966</v>
      </c>
      <c r="O181" s="325"/>
      <c r="P181" s="363"/>
      <c r="Q181" s="363"/>
      <c r="R181" s="364"/>
    </row>
    <row r="182" ht="16.5" hidden="1" customHeight="1" spans="1:18">
      <c r="A182" s="347" t="s">
        <v>156</v>
      </c>
      <c r="B182" s="366"/>
      <c r="C182" s="366"/>
      <c r="D182" s="349"/>
      <c r="E182" s="366"/>
      <c r="F182" s="366"/>
      <c r="G182" s="368"/>
      <c r="H182" s="348">
        <v>0</v>
      </c>
      <c r="I182" s="366"/>
      <c r="J182" s="349"/>
      <c r="K182" s="325"/>
      <c r="L182" s="325">
        <f t="shared" si="2"/>
        <v>0</v>
      </c>
      <c r="O182" s="325"/>
      <c r="P182" s="363"/>
      <c r="Q182" s="363"/>
      <c r="R182" s="364"/>
    </row>
    <row r="183" ht="16.5" customHeight="1" spans="1:18">
      <c r="A183" s="347" t="s">
        <v>157</v>
      </c>
      <c r="B183" s="366"/>
      <c r="C183" s="366"/>
      <c r="D183" s="349"/>
      <c r="E183" s="366"/>
      <c r="F183" s="366"/>
      <c r="G183" s="368"/>
      <c r="H183" s="348">
        <v>1.056</v>
      </c>
      <c r="I183" s="366"/>
      <c r="J183" s="349"/>
      <c r="K183" s="325"/>
      <c r="L183" s="325">
        <f t="shared" si="2"/>
        <v>1.056</v>
      </c>
      <c r="O183" s="325"/>
      <c r="P183" s="363"/>
      <c r="Q183" s="363"/>
      <c r="R183" s="364"/>
    </row>
    <row r="184" ht="16.5" hidden="1" customHeight="1" spans="1:18">
      <c r="A184" s="347" t="s">
        <v>249</v>
      </c>
      <c r="B184" s="366"/>
      <c r="C184" s="366"/>
      <c r="D184" s="349"/>
      <c r="E184" s="366"/>
      <c r="F184" s="366"/>
      <c r="G184" s="368"/>
      <c r="H184" s="348">
        <v>0</v>
      </c>
      <c r="I184" s="366"/>
      <c r="J184" s="349"/>
      <c r="K184" s="325"/>
      <c r="L184" s="325">
        <f t="shared" si="2"/>
        <v>0</v>
      </c>
      <c r="O184" s="325"/>
      <c r="P184" s="363"/>
      <c r="Q184" s="363"/>
      <c r="R184" s="364"/>
    </row>
    <row r="185" ht="16.5" hidden="1" customHeight="1" spans="1:18">
      <c r="A185" s="347" t="s">
        <v>164</v>
      </c>
      <c r="B185" s="366"/>
      <c r="C185" s="366"/>
      <c r="D185" s="349"/>
      <c r="E185" s="366"/>
      <c r="F185" s="366"/>
      <c r="G185" s="368"/>
      <c r="H185" s="348">
        <v>0</v>
      </c>
      <c r="I185" s="366"/>
      <c r="J185" s="349"/>
      <c r="K185" s="325"/>
      <c r="L185" s="325">
        <f t="shared" si="2"/>
        <v>0</v>
      </c>
      <c r="O185" s="325"/>
      <c r="P185" s="363"/>
      <c r="Q185" s="363"/>
      <c r="R185" s="364"/>
    </row>
    <row r="186" ht="16.5" hidden="1" customHeight="1" spans="1:18">
      <c r="A186" s="347" t="s">
        <v>250</v>
      </c>
      <c r="B186" s="366"/>
      <c r="C186" s="366"/>
      <c r="D186" s="349"/>
      <c r="E186" s="366"/>
      <c r="F186" s="366"/>
      <c r="G186" s="368"/>
      <c r="H186" s="348">
        <v>0</v>
      </c>
      <c r="I186" s="366"/>
      <c r="J186" s="349"/>
      <c r="K186" s="325"/>
      <c r="L186" s="325">
        <f t="shared" si="2"/>
        <v>0</v>
      </c>
      <c r="O186" s="325"/>
      <c r="P186" s="363"/>
      <c r="Q186" s="363"/>
      <c r="R186" s="364"/>
    </row>
    <row r="187" s="326" customFormat="1" ht="16.5" customHeight="1" spans="1:18">
      <c r="A187" s="347" t="s">
        <v>251</v>
      </c>
      <c r="B187" s="348">
        <v>6089</v>
      </c>
      <c r="C187" s="348">
        <v>7923</v>
      </c>
      <c r="D187" s="349">
        <f>C187/B187*100</f>
        <v>130.119888323206</v>
      </c>
      <c r="E187" s="348">
        <v>7598</v>
      </c>
      <c r="F187" s="345">
        <f>C187-E187</f>
        <v>325</v>
      </c>
      <c r="G187" s="346">
        <f>F187/E187*100</f>
        <v>4.27744143195578</v>
      </c>
      <c r="H187" s="348">
        <f>SUM(H188:H201)</f>
        <v>6392.167611</v>
      </c>
      <c r="I187" s="366">
        <f>H187-B187</f>
        <v>303.167610999999</v>
      </c>
      <c r="J187" s="349">
        <f>I187/B187*100</f>
        <v>4.97893925110854</v>
      </c>
      <c r="K187" s="325"/>
      <c r="L187" s="325">
        <f t="shared" si="2"/>
        <v>14315.167611</v>
      </c>
      <c r="O187" s="325"/>
      <c r="P187" s="363"/>
      <c r="Q187" s="363"/>
      <c r="R187" s="364"/>
    </row>
    <row r="188" ht="16.5" customHeight="1" spans="1:18">
      <c r="A188" s="347" t="s">
        <v>155</v>
      </c>
      <c r="B188" s="348"/>
      <c r="C188" s="348"/>
      <c r="D188" s="349"/>
      <c r="E188" s="348"/>
      <c r="F188" s="345"/>
      <c r="G188" s="346"/>
      <c r="H188" s="348">
        <v>3567.803388</v>
      </c>
      <c r="I188" s="345"/>
      <c r="J188" s="349"/>
      <c r="K188" s="325"/>
      <c r="L188" s="325">
        <f t="shared" si="2"/>
        <v>3567.803388</v>
      </c>
      <c r="O188" s="325"/>
      <c r="P188" s="363"/>
      <c r="Q188" s="363"/>
      <c r="R188" s="364"/>
    </row>
    <row r="189" ht="16.5" customHeight="1" spans="1:18">
      <c r="A189" s="347" t="s">
        <v>156</v>
      </c>
      <c r="B189" s="348"/>
      <c r="C189" s="348"/>
      <c r="D189" s="349"/>
      <c r="E189" s="348"/>
      <c r="F189" s="345"/>
      <c r="G189" s="346"/>
      <c r="H189" s="348">
        <v>105.2</v>
      </c>
      <c r="I189" s="345"/>
      <c r="J189" s="349"/>
      <c r="K189" s="325"/>
      <c r="L189" s="325">
        <f t="shared" si="2"/>
        <v>105.2</v>
      </c>
      <c r="O189" s="325"/>
      <c r="P189" s="363"/>
      <c r="Q189" s="363"/>
      <c r="R189" s="364"/>
    </row>
    <row r="190" ht="16.5" hidden="1" customHeight="1" spans="1:18">
      <c r="A190" s="347" t="s">
        <v>157</v>
      </c>
      <c r="B190" s="348"/>
      <c r="C190" s="348"/>
      <c r="D190" s="349"/>
      <c r="E190" s="348"/>
      <c r="F190" s="345"/>
      <c r="G190" s="346"/>
      <c r="H190" s="348">
        <v>0</v>
      </c>
      <c r="I190" s="345"/>
      <c r="J190" s="349"/>
      <c r="K190" s="325"/>
      <c r="L190" s="325">
        <f t="shared" si="2"/>
        <v>0</v>
      </c>
      <c r="O190" s="325"/>
      <c r="P190" s="363"/>
      <c r="Q190" s="363"/>
      <c r="R190" s="364"/>
    </row>
    <row r="191" ht="16.5" hidden="1" customHeight="1" spans="1:18">
      <c r="A191" s="347" t="s">
        <v>252</v>
      </c>
      <c r="B191" s="348"/>
      <c r="C191" s="348"/>
      <c r="D191" s="349"/>
      <c r="E191" s="348"/>
      <c r="F191" s="345"/>
      <c r="G191" s="346"/>
      <c r="H191" s="348">
        <v>0</v>
      </c>
      <c r="I191" s="345"/>
      <c r="J191" s="349"/>
      <c r="K191" s="325"/>
      <c r="L191" s="325">
        <f t="shared" si="2"/>
        <v>0</v>
      </c>
      <c r="O191" s="325"/>
      <c r="P191" s="363"/>
      <c r="Q191" s="363"/>
      <c r="R191" s="364"/>
    </row>
    <row r="192" ht="16.5" customHeight="1" spans="1:18">
      <c r="A192" s="347" t="s">
        <v>253</v>
      </c>
      <c r="B192" s="348"/>
      <c r="C192" s="348"/>
      <c r="D192" s="349"/>
      <c r="E192" s="348"/>
      <c r="F192" s="345"/>
      <c r="G192" s="346"/>
      <c r="H192" s="348">
        <v>250.378</v>
      </c>
      <c r="I192" s="345"/>
      <c r="J192" s="349"/>
      <c r="K192" s="325"/>
      <c r="L192" s="325">
        <f t="shared" si="2"/>
        <v>250.378</v>
      </c>
      <c r="O192" s="325"/>
      <c r="P192" s="363"/>
      <c r="Q192" s="363"/>
      <c r="R192" s="364"/>
    </row>
    <row r="193" ht="16.5" hidden="1" customHeight="1" spans="1:18">
      <c r="A193" s="347" t="s">
        <v>195</v>
      </c>
      <c r="B193" s="348"/>
      <c r="C193" s="348"/>
      <c r="D193" s="349"/>
      <c r="E193" s="348"/>
      <c r="F193" s="345"/>
      <c r="G193" s="346"/>
      <c r="H193" s="348">
        <v>0</v>
      </c>
      <c r="I193" s="345"/>
      <c r="J193" s="349"/>
      <c r="K193" s="325"/>
      <c r="L193" s="325">
        <f t="shared" si="2"/>
        <v>0</v>
      </c>
      <c r="O193" s="325"/>
      <c r="P193" s="363"/>
      <c r="Q193" s="363"/>
      <c r="R193" s="364"/>
    </row>
    <row r="194" ht="16.5" hidden="1" customHeight="1" spans="1:18">
      <c r="A194" s="347" t="s">
        <v>254</v>
      </c>
      <c r="B194" s="348"/>
      <c r="C194" s="348"/>
      <c r="D194" s="349"/>
      <c r="E194" s="348"/>
      <c r="F194" s="345"/>
      <c r="G194" s="346"/>
      <c r="H194" s="348">
        <v>0</v>
      </c>
      <c r="I194" s="345"/>
      <c r="J194" s="349"/>
      <c r="K194" s="325"/>
      <c r="L194" s="325">
        <f t="shared" si="2"/>
        <v>0</v>
      </c>
      <c r="O194" s="325"/>
      <c r="P194" s="363"/>
      <c r="Q194" s="363"/>
      <c r="R194" s="364"/>
    </row>
    <row r="195" ht="16.5" customHeight="1" spans="1:18">
      <c r="A195" s="347" t="s">
        <v>255</v>
      </c>
      <c r="B195" s="348"/>
      <c r="C195" s="348"/>
      <c r="D195" s="349"/>
      <c r="E195" s="348"/>
      <c r="F195" s="345"/>
      <c r="G195" s="346"/>
      <c r="H195" s="348">
        <v>237.3604</v>
      </c>
      <c r="I195" s="345"/>
      <c r="J195" s="349"/>
      <c r="K195" s="325"/>
      <c r="L195" s="325">
        <f t="shared" si="2"/>
        <v>237.3604</v>
      </c>
      <c r="O195" s="325"/>
      <c r="P195" s="363"/>
      <c r="Q195" s="363"/>
      <c r="R195" s="364"/>
    </row>
    <row r="196" ht="16.5" customHeight="1" spans="1:18">
      <c r="A196" s="347" t="s">
        <v>256</v>
      </c>
      <c r="B196" s="348"/>
      <c r="C196" s="348"/>
      <c r="D196" s="349"/>
      <c r="E196" s="348"/>
      <c r="F196" s="345"/>
      <c r="G196" s="346"/>
      <c r="H196" s="348">
        <v>2.4</v>
      </c>
      <c r="I196" s="345"/>
      <c r="J196" s="349"/>
      <c r="K196" s="325"/>
      <c r="L196" s="325">
        <f t="shared" si="2"/>
        <v>2.4</v>
      </c>
      <c r="O196" s="325"/>
      <c r="P196" s="363"/>
      <c r="Q196" s="363"/>
      <c r="R196" s="364"/>
    </row>
    <row r="197" ht="16.5" customHeight="1" spans="1:18">
      <c r="A197" s="347" t="s">
        <v>257</v>
      </c>
      <c r="B197" s="348"/>
      <c r="C197" s="348"/>
      <c r="D197" s="349"/>
      <c r="E197" s="348"/>
      <c r="F197" s="345"/>
      <c r="G197" s="346"/>
      <c r="H197" s="348">
        <v>45.5</v>
      </c>
      <c r="I197" s="345"/>
      <c r="J197" s="349"/>
      <c r="K197" s="325"/>
      <c r="L197" s="325">
        <f t="shared" si="2"/>
        <v>45.5</v>
      </c>
      <c r="O197" s="325"/>
      <c r="P197" s="363"/>
      <c r="Q197" s="363"/>
      <c r="R197" s="364"/>
    </row>
    <row r="198" ht="16.5" hidden="1" customHeight="1" spans="1:18">
      <c r="A198" s="347" t="s">
        <v>258</v>
      </c>
      <c r="B198" s="348"/>
      <c r="C198" s="348"/>
      <c r="D198" s="349"/>
      <c r="E198" s="348"/>
      <c r="F198" s="345"/>
      <c r="G198" s="346"/>
      <c r="H198" s="348">
        <v>0</v>
      </c>
      <c r="I198" s="345"/>
      <c r="J198" s="349"/>
      <c r="K198" s="325"/>
      <c r="L198" s="325">
        <f t="shared" si="2"/>
        <v>0</v>
      </c>
      <c r="O198" s="325"/>
      <c r="P198" s="363"/>
      <c r="Q198" s="363"/>
      <c r="R198" s="364"/>
    </row>
    <row r="199" ht="16.5" customHeight="1" spans="1:18">
      <c r="A199" s="347" t="s">
        <v>259</v>
      </c>
      <c r="B199" s="348"/>
      <c r="C199" s="348"/>
      <c r="D199" s="349"/>
      <c r="E199" s="348"/>
      <c r="F199" s="345"/>
      <c r="G199" s="346"/>
      <c r="H199" s="348">
        <v>768</v>
      </c>
      <c r="I199" s="345"/>
      <c r="J199" s="349"/>
      <c r="K199" s="325"/>
      <c r="L199" s="325">
        <f t="shared" si="2"/>
        <v>768</v>
      </c>
      <c r="O199" s="325"/>
      <c r="P199" s="363"/>
      <c r="Q199" s="363"/>
      <c r="R199" s="364"/>
    </row>
    <row r="200" ht="16.5" customHeight="1" spans="1:18">
      <c r="A200" s="347" t="s">
        <v>164</v>
      </c>
      <c r="B200" s="348"/>
      <c r="C200" s="348"/>
      <c r="D200" s="349"/>
      <c r="E200" s="348"/>
      <c r="F200" s="345"/>
      <c r="G200" s="346"/>
      <c r="H200" s="348">
        <v>1282.686223</v>
      </c>
      <c r="I200" s="345"/>
      <c r="J200" s="349"/>
      <c r="K200" s="325"/>
      <c r="L200" s="325">
        <f t="shared" ref="L200:L263" si="3">C200+H200</f>
        <v>1282.686223</v>
      </c>
      <c r="O200" s="325"/>
      <c r="P200" s="363"/>
      <c r="Q200" s="363"/>
      <c r="R200" s="364"/>
    </row>
    <row r="201" ht="16.5" customHeight="1" spans="1:18">
      <c r="A201" s="347" t="s">
        <v>260</v>
      </c>
      <c r="B201" s="348"/>
      <c r="C201" s="348"/>
      <c r="D201" s="349"/>
      <c r="E201" s="348"/>
      <c r="F201" s="345"/>
      <c r="G201" s="346"/>
      <c r="H201" s="348">
        <v>132.8396</v>
      </c>
      <c r="I201" s="345"/>
      <c r="J201" s="349"/>
      <c r="K201" s="325"/>
      <c r="L201" s="325">
        <f t="shared" si="3"/>
        <v>132.8396</v>
      </c>
      <c r="O201" s="325"/>
      <c r="P201" s="363"/>
      <c r="Q201" s="363"/>
      <c r="R201" s="364"/>
    </row>
    <row r="202" s="327" customFormat="1" ht="16.5" customHeight="1" spans="1:18">
      <c r="A202" s="347" t="s">
        <v>261</v>
      </c>
      <c r="B202" s="348">
        <v>1614</v>
      </c>
      <c r="C202" s="348">
        <v>310</v>
      </c>
      <c r="D202" s="349"/>
      <c r="E202" s="348">
        <v>7</v>
      </c>
      <c r="F202" s="345">
        <f>C202-E202</f>
        <v>303</v>
      </c>
      <c r="G202" s="346"/>
      <c r="H202" s="348">
        <f>SUM(H203:H208)</f>
        <v>330.453714</v>
      </c>
      <c r="I202" s="366">
        <f>H202-B202</f>
        <v>-1283.546286</v>
      </c>
      <c r="J202" s="349"/>
      <c r="K202" s="325"/>
      <c r="L202" s="325">
        <f t="shared" si="3"/>
        <v>640.453714</v>
      </c>
      <c r="O202" s="325"/>
      <c r="P202" s="363"/>
      <c r="Q202" s="363"/>
      <c r="R202" s="364"/>
    </row>
    <row r="203" s="327" customFormat="1" ht="16.5" customHeight="1" spans="1:18">
      <c r="A203" s="347" t="s">
        <v>155</v>
      </c>
      <c r="B203" s="348"/>
      <c r="C203" s="348"/>
      <c r="D203" s="349"/>
      <c r="E203" s="348"/>
      <c r="F203" s="345"/>
      <c r="G203" s="346"/>
      <c r="H203" s="348">
        <v>227.713714</v>
      </c>
      <c r="I203" s="345"/>
      <c r="J203" s="349"/>
      <c r="K203" s="325"/>
      <c r="L203" s="325">
        <f t="shared" si="3"/>
        <v>227.713714</v>
      </c>
      <c r="O203" s="325"/>
      <c r="P203" s="363"/>
      <c r="Q203" s="363"/>
      <c r="R203" s="364"/>
    </row>
    <row r="204" s="327" customFormat="1" ht="16.5" hidden="1" customHeight="1" spans="1:18">
      <c r="A204" s="347" t="s">
        <v>156</v>
      </c>
      <c r="B204" s="348"/>
      <c r="C204" s="348"/>
      <c r="D204" s="349"/>
      <c r="E204" s="348"/>
      <c r="F204" s="345"/>
      <c r="G204" s="346"/>
      <c r="H204" s="348">
        <v>0</v>
      </c>
      <c r="I204" s="345"/>
      <c r="J204" s="349"/>
      <c r="K204" s="325"/>
      <c r="L204" s="325">
        <f t="shared" si="3"/>
        <v>0</v>
      </c>
      <c r="O204" s="325"/>
      <c r="P204" s="363"/>
      <c r="Q204" s="363"/>
      <c r="R204" s="364"/>
    </row>
    <row r="205" s="327" customFormat="1" ht="16.5" hidden="1" customHeight="1" spans="1:18">
      <c r="A205" s="347" t="s">
        <v>157</v>
      </c>
      <c r="B205" s="348"/>
      <c r="C205" s="348"/>
      <c r="D205" s="349"/>
      <c r="E205" s="348"/>
      <c r="F205" s="345"/>
      <c r="G205" s="346"/>
      <c r="H205" s="348">
        <v>0</v>
      </c>
      <c r="I205" s="345"/>
      <c r="J205" s="349"/>
      <c r="K205" s="325"/>
      <c r="L205" s="325">
        <f t="shared" si="3"/>
        <v>0</v>
      </c>
      <c r="O205" s="325"/>
      <c r="P205" s="363"/>
      <c r="Q205" s="363"/>
      <c r="R205" s="364"/>
    </row>
    <row r="206" s="327" customFormat="1" ht="16.5" customHeight="1" spans="1:18">
      <c r="A206" s="347" t="s">
        <v>232</v>
      </c>
      <c r="B206" s="348"/>
      <c r="C206" s="348"/>
      <c r="D206" s="349"/>
      <c r="E206" s="348"/>
      <c r="F206" s="345"/>
      <c r="G206" s="346"/>
      <c r="H206" s="348">
        <v>102.74</v>
      </c>
      <c r="I206" s="345"/>
      <c r="J206" s="349"/>
      <c r="K206" s="325"/>
      <c r="L206" s="325">
        <f t="shared" si="3"/>
        <v>102.74</v>
      </c>
      <c r="O206" s="325"/>
      <c r="P206" s="363"/>
      <c r="Q206" s="363"/>
      <c r="R206" s="364"/>
    </row>
    <row r="207" s="327" customFormat="1" ht="16.5" hidden="1" customHeight="1" spans="1:18">
      <c r="A207" s="347" t="s">
        <v>164</v>
      </c>
      <c r="B207" s="348"/>
      <c r="C207" s="348"/>
      <c r="D207" s="349"/>
      <c r="E207" s="348"/>
      <c r="F207" s="345"/>
      <c r="G207" s="346"/>
      <c r="H207" s="348">
        <v>0</v>
      </c>
      <c r="I207" s="345"/>
      <c r="J207" s="349"/>
      <c r="K207" s="325"/>
      <c r="L207" s="325">
        <f t="shared" si="3"/>
        <v>0</v>
      </c>
      <c r="O207" s="325"/>
      <c r="P207" s="363"/>
      <c r="Q207" s="363"/>
      <c r="R207" s="364"/>
    </row>
    <row r="208" s="327" customFormat="1" ht="16.5" hidden="1" customHeight="1" spans="1:18">
      <c r="A208" s="347" t="s">
        <v>262</v>
      </c>
      <c r="B208" s="348"/>
      <c r="C208" s="348"/>
      <c r="D208" s="349"/>
      <c r="E208" s="348"/>
      <c r="F208" s="345"/>
      <c r="G208" s="346"/>
      <c r="H208" s="348">
        <v>0</v>
      </c>
      <c r="I208" s="345"/>
      <c r="J208" s="349"/>
      <c r="K208" s="325"/>
      <c r="L208" s="325">
        <f t="shared" si="3"/>
        <v>0</v>
      </c>
      <c r="O208" s="325"/>
      <c r="P208" s="363"/>
      <c r="Q208" s="363"/>
      <c r="R208" s="364"/>
    </row>
    <row r="209" s="327" customFormat="1" ht="16.5" customHeight="1" spans="1:18">
      <c r="A209" s="347" t="s">
        <v>263</v>
      </c>
      <c r="B209" s="348">
        <v>131</v>
      </c>
      <c r="C209" s="348">
        <v>143</v>
      </c>
      <c r="D209" s="349">
        <f>C209/B209*100</f>
        <v>109.160305343511</v>
      </c>
      <c r="E209" s="348">
        <v>189</v>
      </c>
      <c r="F209" s="345">
        <f>C209-E209</f>
        <v>-46</v>
      </c>
      <c r="G209" s="346"/>
      <c r="H209" s="348">
        <f>SUM(H210:H215)</f>
        <v>436.598113</v>
      </c>
      <c r="I209" s="345">
        <f>H209-B210</f>
        <v>436.598113</v>
      </c>
      <c r="J209" s="349">
        <f>I209/B209*100</f>
        <v>333.281002290076</v>
      </c>
      <c r="K209" s="325"/>
      <c r="L209" s="325">
        <f t="shared" si="3"/>
        <v>579.598113</v>
      </c>
      <c r="O209" s="325"/>
      <c r="P209" s="363"/>
      <c r="Q209" s="363"/>
      <c r="R209" s="364"/>
    </row>
    <row r="210" s="327" customFormat="1" ht="16.5" customHeight="1" spans="1:18">
      <c r="A210" s="347" t="s">
        <v>155</v>
      </c>
      <c r="B210" s="348"/>
      <c r="C210" s="348"/>
      <c r="D210" s="349"/>
      <c r="E210" s="348"/>
      <c r="F210" s="345"/>
      <c r="G210" s="346"/>
      <c r="H210" s="348">
        <v>254.561092</v>
      </c>
      <c r="I210" s="345"/>
      <c r="J210" s="349"/>
      <c r="K210" s="325"/>
      <c r="L210" s="325">
        <f t="shared" si="3"/>
        <v>254.561092</v>
      </c>
      <c r="O210" s="325"/>
      <c r="P210" s="363"/>
      <c r="Q210" s="363"/>
      <c r="R210" s="364"/>
    </row>
    <row r="211" s="327" customFormat="1" ht="16.5" hidden="1" customHeight="1" spans="1:18">
      <c r="A211" s="347" t="s">
        <v>156</v>
      </c>
      <c r="B211" s="348"/>
      <c r="C211" s="348"/>
      <c r="D211" s="349"/>
      <c r="E211" s="348"/>
      <c r="F211" s="345"/>
      <c r="G211" s="346"/>
      <c r="H211" s="348">
        <v>0</v>
      </c>
      <c r="I211" s="345"/>
      <c r="J211" s="349"/>
      <c r="K211" s="325"/>
      <c r="L211" s="325">
        <f t="shared" si="3"/>
        <v>0</v>
      </c>
      <c r="O211" s="325"/>
      <c r="P211" s="363"/>
      <c r="Q211" s="363"/>
      <c r="R211" s="364"/>
    </row>
    <row r="212" s="327" customFormat="1" ht="16.5" hidden="1" customHeight="1" spans="1:18">
      <c r="A212" s="347" t="s">
        <v>157</v>
      </c>
      <c r="B212" s="348"/>
      <c r="C212" s="348"/>
      <c r="D212" s="349"/>
      <c r="E212" s="348"/>
      <c r="F212" s="345"/>
      <c r="G212" s="346"/>
      <c r="H212" s="348">
        <v>0</v>
      </c>
      <c r="I212" s="345"/>
      <c r="J212" s="349"/>
      <c r="K212" s="325"/>
      <c r="L212" s="325">
        <f t="shared" si="3"/>
        <v>0</v>
      </c>
      <c r="O212" s="325"/>
      <c r="P212" s="363"/>
      <c r="Q212" s="363"/>
      <c r="R212" s="364"/>
    </row>
    <row r="213" s="327" customFormat="1" ht="16.5" customHeight="1" spans="1:18">
      <c r="A213" s="369" t="s">
        <v>264</v>
      </c>
      <c r="B213" s="348"/>
      <c r="C213" s="348"/>
      <c r="D213" s="349"/>
      <c r="E213" s="348"/>
      <c r="F213" s="345"/>
      <c r="G213" s="346"/>
      <c r="H213" s="348">
        <v>87.17</v>
      </c>
      <c r="I213" s="345"/>
      <c r="J213" s="349"/>
      <c r="K213" s="325"/>
      <c r="L213" s="325">
        <f t="shared" si="3"/>
        <v>87.17</v>
      </c>
      <c r="O213" s="325"/>
      <c r="P213" s="363"/>
      <c r="Q213" s="363"/>
      <c r="R213" s="364"/>
    </row>
    <row r="214" s="327" customFormat="1" ht="16.5" customHeight="1" spans="1:18">
      <c r="A214" s="369" t="s">
        <v>164</v>
      </c>
      <c r="B214" s="348"/>
      <c r="C214" s="348"/>
      <c r="D214" s="349"/>
      <c r="E214" s="348"/>
      <c r="F214" s="345"/>
      <c r="G214" s="346"/>
      <c r="H214" s="348">
        <v>64.867021</v>
      </c>
      <c r="I214" s="345"/>
      <c r="J214" s="349"/>
      <c r="K214" s="325"/>
      <c r="L214" s="325">
        <f t="shared" si="3"/>
        <v>64.867021</v>
      </c>
      <c r="O214" s="325"/>
      <c r="P214" s="363"/>
      <c r="Q214" s="363"/>
      <c r="R214" s="364"/>
    </row>
    <row r="215" s="327" customFormat="1" ht="16.5" customHeight="1" spans="1:18">
      <c r="A215" s="369" t="s">
        <v>265</v>
      </c>
      <c r="B215" s="370"/>
      <c r="C215" s="348"/>
      <c r="D215" s="349"/>
      <c r="E215" s="370"/>
      <c r="F215" s="345"/>
      <c r="G215" s="346"/>
      <c r="H215" s="348">
        <v>30</v>
      </c>
      <c r="I215" s="345"/>
      <c r="J215" s="349"/>
      <c r="K215" s="325"/>
      <c r="L215" s="325">
        <f t="shared" si="3"/>
        <v>30</v>
      </c>
      <c r="O215" s="325"/>
      <c r="P215" s="363"/>
      <c r="Q215" s="363"/>
      <c r="R215" s="364"/>
    </row>
    <row r="216" s="327" customFormat="1" ht="16.5" hidden="1" customHeight="1" spans="1:18">
      <c r="A216" s="369" t="s">
        <v>266</v>
      </c>
      <c r="B216" s="370"/>
      <c r="C216" s="348"/>
      <c r="D216" s="349"/>
      <c r="E216" s="370"/>
      <c r="F216" s="345"/>
      <c r="G216" s="346"/>
      <c r="H216" s="348">
        <f>SUM(H217:H221)</f>
        <v>0</v>
      </c>
      <c r="I216" s="345"/>
      <c r="J216" s="349"/>
      <c r="K216" s="325"/>
      <c r="L216" s="325">
        <f t="shared" si="3"/>
        <v>0</v>
      </c>
      <c r="O216" s="325"/>
      <c r="P216" s="363"/>
      <c r="Q216" s="363"/>
      <c r="R216" s="364"/>
    </row>
    <row r="217" s="327" customFormat="1" ht="16.5" hidden="1" customHeight="1" spans="1:18">
      <c r="A217" s="369" t="s">
        <v>155</v>
      </c>
      <c r="B217" s="370"/>
      <c r="C217" s="348"/>
      <c r="D217" s="349"/>
      <c r="E217" s="370"/>
      <c r="F217" s="345"/>
      <c r="G217" s="346"/>
      <c r="H217" s="348"/>
      <c r="I217" s="345"/>
      <c r="J217" s="349"/>
      <c r="K217" s="325"/>
      <c r="L217" s="325">
        <f t="shared" si="3"/>
        <v>0</v>
      </c>
      <c r="O217" s="325"/>
      <c r="P217" s="363"/>
      <c r="Q217" s="363"/>
      <c r="R217" s="364"/>
    </row>
    <row r="218" s="327" customFormat="1" ht="16.5" hidden="1" customHeight="1" spans="1:18">
      <c r="A218" s="369" t="s">
        <v>156</v>
      </c>
      <c r="B218" s="370"/>
      <c r="C218" s="348"/>
      <c r="D218" s="349"/>
      <c r="E218" s="370"/>
      <c r="F218" s="345"/>
      <c r="G218" s="346"/>
      <c r="H218" s="348"/>
      <c r="I218" s="345"/>
      <c r="J218" s="349"/>
      <c r="K218" s="325"/>
      <c r="L218" s="325">
        <f t="shared" si="3"/>
        <v>0</v>
      </c>
      <c r="O218" s="325"/>
      <c r="P218" s="363"/>
      <c r="Q218" s="363"/>
      <c r="R218" s="364"/>
    </row>
    <row r="219" s="327" customFormat="1" ht="16.5" hidden="1" customHeight="1" spans="1:18">
      <c r="A219" s="369" t="s">
        <v>157</v>
      </c>
      <c r="B219" s="370"/>
      <c r="C219" s="348"/>
      <c r="D219" s="349"/>
      <c r="E219" s="370"/>
      <c r="F219" s="345"/>
      <c r="G219" s="346"/>
      <c r="H219" s="348"/>
      <c r="I219" s="345"/>
      <c r="J219" s="349"/>
      <c r="K219" s="325"/>
      <c r="L219" s="325">
        <f t="shared" si="3"/>
        <v>0</v>
      </c>
      <c r="O219" s="325"/>
      <c r="P219" s="363"/>
      <c r="Q219" s="363"/>
      <c r="R219" s="364"/>
    </row>
    <row r="220" s="327" customFormat="1" ht="16.5" hidden="1" customHeight="1" spans="1:18">
      <c r="A220" s="369" t="s">
        <v>164</v>
      </c>
      <c r="B220" s="370"/>
      <c r="C220" s="348"/>
      <c r="D220" s="349"/>
      <c r="E220" s="370"/>
      <c r="F220" s="345"/>
      <c r="G220" s="346"/>
      <c r="H220" s="348"/>
      <c r="I220" s="345"/>
      <c r="J220" s="349"/>
      <c r="K220" s="325"/>
      <c r="L220" s="325">
        <f t="shared" si="3"/>
        <v>0</v>
      </c>
      <c r="O220" s="325"/>
      <c r="P220" s="363"/>
      <c r="Q220" s="363"/>
      <c r="R220" s="364"/>
    </row>
    <row r="221" s="327" customFormat="1" ht="16.5" hidden="1" customHeight="1" spans="1:18">
      <c r="A221" s="369" t="s">
        <v>267</v>
      </c>
      <c r="B221" s="370"/>
      <c r="C221" s="348"/>
      <c r="D221" s="349"/>
      <c r="E221" s="370"/>
      <c r="F221" s="345"/>
      <c r="G221" s="346"/>
      <c r="H221" s="348"/>
      <c r="I221" s="345"/>
      <c r="J221" s="349"/>
      <c r="K221" s="325"/>
      <c r="L221" s="325">
        <f t="shared" si="3"/>
        <v>0</v>
      </c>
      <c r="O221" s="325"/>
      <c r="P221" s="363"/>
      <c r="Q221" s="363"/>
      <c r="R221" s="364"/>
    </row>
    <row r="222" s="326" customFormat="1" ht="16.5" customHeight="1" spans="1:18">
      <c r="A222" s="369" t="s">
        <v>268</v>
      </c>
      <c r="B222" s="348">
        <v>25738</v>
      </c>
      <c r="C222" s="348">
        <v>2831</v>
      </c>
      <c r="D222" s="349">
        <f>C222/B222*100</f>
        <v>10.9993006449608</v>
      </c>
      <c r="E222" s="348">
        <v>5554</v>
      </c>
      <c r="F222" s="345">
        <f t="shared" ref="F222:F225" si="4">C222-E222</f>
        <v>-2723</v>
      </c>
      <c r="G222" s="346">
        <f>F222/E222*100</f>
        <v>-49.0277277637739</v>
      </c>
      <c r="H222" s="348">
        <f>H223</f>
        <v>27125.344</v>
      </c>
      <c r="I222" s="345">
        <f>H222-B223</f>
        <v>27125.344</v>
      </c>
      <c r="J222" s="349">
        <f>I222/B222*100</f>
        <v>105.39025565312</v>
      </c>
      <c r="K222" s="325"/>
      <c r="L222" s="325">
        <f t="shared" si="3"/>
        <v>29956.344</v>
      </c>
      <c r="O222" s="325"/>
      <c r="P222" s="363"/>
      <c r="Q222" s="363"/>
      <c r="R222" s="364"/>
    </row>
    <row r="223" ht="16.5" customHeight="1" spans="1:18">
      <c r="A223" s="365" t="s">
        <v>269</v>
      </c>
      <c r="B223" s="348"/>
      <c r="C223" s="348"/>
      <c r="D223" s="349"/>
      <c r="E223" s="348"/>
      <c r="F223" s="345"/>
      <c r="G223" s="346"/>
      <c r="H223" s="348">
        <v>27125.344</v>
      </c>
      <c r="I223" s="345"/>
      <c r="J223" s="349"/>
      <c r="K223" s="325"/>
      <c r="L223" s="325">
        <f t="shared" si="3"/>
        <v>27125.344</v>
      </c>
      <c r="O223" s="325"/>
      <c r="P223" s="363"/>
      <c r="Q223" s="363"/>
      <c r="R223" s="364"/>
    </row>
    <row r="224" s="325" customFormat="1" ht="16.5" customHeight="1" spans="1:18">
      <c r="A224" s="344" t="s">
        <v>270</v>
      </c>
      <c r="B224" s="345">
        <f>B225+B229+B230+B231+B239</f>
        <v>554</v>
      </c>
      <c r="C224" s="345">
        <f>C225+C229+C230+C231+C239</f>
        <v>910</v>
      </c>
      <c r="D224" s="349">
        <f>C224/B224*100</f>
        <v>164.259927797834</v>
      </c>
      <c r="E224" s="345">
        <f>E225+E229+E230+E231+E239</f>
        <v>1227</v>
      </c>
      <c r="F224" s="345">
        <f t="shared" si="4"/>
        <v>-317</v>
      </c>
      <c r="G224" s="346">
        <f>F224/E224*100</f>
        <v>-25.8353708231459</v>
      </c>
      <c r="H224" s="345">
        <f>H225+H229+H230+H231+H239</f>
        <v>790.302088</v>
      </c>
      <c r="I224" s="345">
        <f t="shared" ref="I224:I231" si="5">H224-B224</f>
        <v>236.302088</v>
      </c>
      <c r="J224" s="349">
        <f>I224/B224*100</f>
        <v>42.653806498195</v>
      </c>
      <c r="L224" s="325">
        <f t="shared" si="3"/>
        <v>1700.302088</v>
      </c>
      <c r="P224" s="362"/>
      <c r="Q224" s="362"/>
      <c r="R224" s="364"/>
    </row>
    <row r="225" s="325" customFormat="1" ht="18" hidden="1" customHeight="1" spans="1:18">
      <c r="A225" s="347" t="s">
        <v>271</v>
      </c>
      <c r="B225" s="348"/>
      <c r="C225" s="345"/>
      <c r="D225" s="349"/>
      <c r="E225" s="345"/>
      <c r="F225" s="345">
        <f t="shared" si="4"/>
        <v>0</v>
      </c>
      <c r="G225" s="346"/>
      <c r="H225" s="345"/>
      <c r="I225" s="345">
        <f t="shared" si="5"/>
        <v>0</v>
      </c>
      <c r="J225" s="349"/>
      <c r="L225" s="325">
        <f t="shared" si="3"/>
        <v>0</v>
      </c>
      <c r="P225" s="362"/>
      <c r="Q225" s="362"/>
      <c r="R225" s="364"/>
    </row>
    <row r="226" s="325" customFormat="1" ht="16.5" hidden="1" customHeight="1" spans="1:18">
      <c r="A226" s="347" t="s">
        <v>272</v>
      </c>
      <c r="B226" s="348"/>
      <c r="C226" s="345"/>
      <c r="D226" s="349"/>
      <c r="E226" s="345"/>
      <c r="F226" s="345"/>
      <c r="G226" s="346"/>
      <c r="H226" s="345"/>
      <c r="I226" s="345"/>
      <c r="J226" s="349"/>
      <c r="L226" s="325">
        <f t="shared" si="3"/>
        <v>0</v>
      </c>
      <c r="P226" s="362"/>
      <c r="Q226" s="362"/>
      <c r="R226" s="364"/>
    </row>
    <row r="227" s="325" customFormat="1" ht="16.5" hidden="1" customHeight="1" spans="1:18">
      <c r="A227" s="347" t="s">
        <v>273</v>
      </c>
      <c r="B227" s="348"/>
      <c r="C227" s="345"/>
      <c r="D227" s="349"/>
      <c r="E227" s="345"/>
      <c r="F227" s="345"/>
      <c r="G227" s="346"/>
      <c r="H227" s="345"/>
      <c r="I227" s="345"/>
      <c r="J227" s="349"/>
      <c r="L227" s="325">
        <f t="shared" si="3"/>
        <v>0</v>
      </c>
      <c r="P227" s="362"/>
      <c r="Q227" s="362"/>
      <c r="R227" s="364"/>
    </row>
    <row r="228" s="325" customFormat="1" ht="16.5" hidden="1" customHeight="1" spans="1:18">
      <c r="A228" s="347" t="s">
        <v>274</v>
      </c>
      <c r="B228" s="348"/>
      <c r="C228" s="345"/>
      <c r="D228" s="349"/>
      <c r="E228" s="345"/>
      <c r="F228" s="345"/>
      <c r="G228" s="346"/>
      <c r="H228" s="345"/>
      <c r="I228" s="345"/>
      <c r="J228" s="349"/>
      <c r="L228" s="325">
        <f t="shared" si="3"/>
        <v>0</v>
      </c>
      <c r="P228" s="362"/>
      <c r="Q228" s="362"/>
      <c r="R228" s="364"/>
    </row>
    <row r="229" s="325" customFormat="1" ht="18" hidden="1" customHeight="1" spans="1:18">
      <c r="A229" s="347" t="s">
        <v>275</v>
      </c>
      <c r="B229" s="348"/>
      <c r="C229" s="345"/>
      <c r="D229" s="349"/>
      <c r="E229" s="345"/>
      <c r="F229" s="345">
        <f t="shared" ref="F229:F231" si="6">C229-E229</f>
        <v>0</v>
      </c>
      <c r="G229" s="346"/>
      <c r="H229" s="345"/>
      <c r="I229" s="345">
        <f t="shared" si="5"/>
        <v>0</v>
      </c>
      <c r="J229" s="349"/>
      <c r="L229" s="325">
        <f t="shared" si="3"/>
        <v>0</v>
      </c>
      <c r="P229" s="362"/>
      <c r="Q229" s="362"/>
      <c r="R229" s="364"/>
    </row>
    <row r="230" s="325" customFormat="1" ht="16.5" hidden="1" customHeight="1" spans="1:18">
      <c r="A230" s="347" t="s">
        <v>276</v>
      </c>
      <c r="B230" s="348"/>
      <c r="C230" s="345"/>
      <c r="D230" s="349"/>
      <c r="E230" s="345"/>
      <c r="F230" s="345">
        <f t="shared" si="6"/>
        <v>0</v>
      </c>
      <c r="G230" s="346"/>
      <c r="H230" s="345"/>
      <c r="I230" s="345">
        <f t="shared" si="5"/>
        <v>0</v>
      </c>
      <c r="J230" s="349"/>
      <c r="L230" s="325">
        <f t="shared" si="3"/>
        <v>0</v>
      </c>
      <c r="P230" s="362"/>
      <c r="Q230" s="362"/>
      <c r="R230" s="364"/>
    </row>
    <row r="231" s="326" customFormat="1" ht="16.5" customHeight="1" spans="1:18">
      <c r="A231" s="347" t="s">
        <v>277</v>
      </c>
      <c r="B231" s="348">
        <v>228</v>
      </c>
      <c r="C231" s="348">
        <v>597</v>
      </c>
      <c r="D231" s="349">
        <f>C231/B231*100</f>
        <v>261.842105263158</v>
      </c>
      <c r="E231" s="348">
        <v>450</v>
      </c>
      <c r="F231" s="345">
        <f t="shared" si="6"/>
        <v>147</v>
      </c>
      <c r="G231" s="346">
        <f>F231/E231*100</f>
        <v>32.6666666666667</v>
      </c>
      <c r="H231" s="348">
        <f>SUM(H232:H238)</f>
        <v>134.5</v>
      </c>
      <c r="I231" s="345">
        <f t="shared" si="5"/>
        <v>-93.5</v>
      </c>
      <c r="J231" s="349">
        <f>I231/B231*100</f>
        <v>-41.0087719298246</v>
      </c>
      <c r="K231" s="325"/>
      <c r="L231" s="325">
        <f t="shared" si="3"/>
        <v>731.5</v>
      </c>
      <c r="O231" s="325"/>
      <c r="P231" s="363"/>
      <c r="Q231" s="363"/>
      <c r="R231" s="364"/>
    </row>
    <row r="232" ht="16.5" hidden="1" customHeight="1" spans="1:18">
      <c r="A232" s="347" t="s">
        <v>278</v>
      </c>
      <c r="B232" s="348"/>
      <c r="C232" s="348"/>
      <c r="D232" s="349"/>
      <c r="E232" s="348"/>
      <c r="F232" s="345"/>
      <c r="G232" s="346"/>
      <c r="H232" s="348">
        <v>0</v>
      </c>
      <c r="I232" s="345"/>
      <c r="J232" s="349"/>
      <c r="K232" s="325"/>
      <c r="L232" s="325">
        <f t="shared" si="3"/>
        <v>0</v>
      </c>
      <c r="O232" s="325"/>
      <c r="P232" s="363"/>
      <c r="Q232" s="363"/>
      <c r="R232" s="364"/>
    </row>
    <row r="233" ht="16.5" hidden="1" customHeight="1" spans="1:18">
      <c r="A233" s="347" t="s">
        <v>279</v>
      </c>
      <c r="B233" s="348"/>
      <c r="C233" s="348"/>
      <c r="D233" s="349"/>
      <c r="E233" s="348"/>
      <c r="F233" s="345"/>
      <c r="G233" s="346"/>
      <c r="H233" s="348">
        <v>0</v>
      </c>
      <c r="I233" s="345"/>
      <c r="J233" s="349"/>
      <c r="K233" s="325"/>
      <c r="L233" s="325">
        <f t="shared" si="3"/>
        <v>0</v>
      </c>
      <c r="O233" s="325"/>
      <c r="P233" s="363"/>
      <c r="Q233" s="363"/>
      <c r="R233" s="364"/>
    </row>
    <row r="234" ht="16.5" customHeight="1" spans="1:18">
      <c r="A234" s="347" t="s">
        <v>280</v>
      </c>
      <c r="B234" s="348"/>
      <c r="C234" s="348"/>
      <c r="D234" s="349"/>
      <c r="E234" s="348"/>
      <c r="F234" s="345"/>
      <c r="G234" s="346"/>
      <c r="H234" s="348">
        <v>120</v>
      </c>
      <c r="I234" s="345"/>
      <c r="J234" s="349"/>
      <c r="K234" s="325"/>
      <c r="L234" s="325">
        <f t="shared" si="3"/>
        <v>120</v>
      </c>
      <c r="O234" s="325"/>
      <c r="P234" s="363"/>
      <c r="Q234" s="363"/>
      <c r="R234" s="364"/>
    </row>
    <row r="235" ht="16.5" customHeight="1" spans="1:18">
      <c r="A235" s="347" t="s">
        <v>281</v>
      </c>
      <c r="B235" s="348"/>
      <c r="C235" s="348"/>
      <c r="D235" s="349"/>
      <c r="E235" s="348"/>
      <c r="F235" s="345"/>
      <c r="G235" s="346"/>
      <c r="H235" s="348">
        <v>2</v>
      </c>
      <c r="I235" s="345"/>
      <c r="J235" s="349"/>
      <c r="K235" s="325"/>
      <c r="L235" s="325">
        <f t="shared" si="3"/>
        <v>2</v>
      </c>
      <c r="O235" s="325"/>
      <c r="P235" s="363"/>
      <c r="Q235" s="363"/>
      <c r="R235" s="364"/>
    </row>
    <row r="236" ht="16.5" customHeight="1" spans="1:18">
      <c r="A236" s="347" t="s">
        <v>282</v>
      </c>
      <c r="B236" s="348"/>
      <c r="C236" s="348"/>
      <c r="D236" s="349"/>
      <c r="E236" s="348"/>
      <c r="F236" s="345"/>
      <c r="G236" s="346"/>
      <c r="H236" s="348">
        <v>12.5</v>
      </c>
      <c r="I236" s="345"/>
      <c r="J236" s="349"/>
      <c r="K236" s="325"/>
      <c r="L236" s="325">
        <f t="shared" si="3"/>
        <v>12.5</v>
      </c>
      <c r="O236" s="325"/>
      <c r="P236" s="363"/>
      <c r="Q236" s="363"/>
      <c r="R236" s="364"/>
    </row>
    <row r="237" ht="16.5" hidden="1" customHeight="1" spans="1:18">
      <c r="A237" s="347" t="s">
        <v>283</v>
      </c>
      <c r="B237" s="348"/>
      <c r="C237" s="348"/>
      <c r="D237" s="349"/>
      <c r="E237" s="348"/>
      <c r="F237" s="345"/>
      <c r="G237" s="346"/>
      <c r="H237" s="348">
        <v>0</v>
      </c>
      <c r="I237" s="345"/>
      <c r="J237" s="349"/>
      <c r="K237" s="325"/>
      <c r="L237" s="325">
        <f t="shared" si="3"/>
        <v>0</v>
      </c>
      <c r="O237" s="325"/>
      <c r="P237" s="363"/>
      <c r="Q237" s="363"/>
      <c r="R237" s="364"/>
    </row>
    <row r="238" ht="16.5" hidden="1" customHeight="1" spans="1:18">
      <c r="A238" s="347" t="s">
        <v>284</v>
      </c>
      <c r="B238" s="348"/>
      <c r="C238" s="348"/>
      <c r="D238" s="349"/>
      <c r="E238" s="348"/>
      <c r="F238" s="345"/>
      <c r="G238" s="346"/>
      <c r="H238" s="348">
        <v>0</v>
      </c>
      <c r="I238" s="345"/>
      <c r="J238" s="349"/>
      <c r="K238" s="325"/>
      <c r="L238" s="325">
        <f t="shared" si="3"/>
        <v>0</v>
      </c>
      <c r="O238" s="325"/>
      <c r="P238" s="363"/>
      <c r="Q238" s="363"/>
      <c r="R238" s="364"/>
    </row>
    <row r="239" s="326" customFormat="1" ht="16.5" customHeight="1" spans="1:18">
      <c r="A239" s="347" t="s">
        <v>285</v>
      </c>
      <c r="B239" s="371">
        <v>326</v>
      </c>
      <c r="C239" s="348">
        <v>313</v>
      </c>
      <c r="D239" s="349">
        <f t="shared" ref="D239:D241" si="7">C239/B239*100</f>
        <v>96.0122699386503</v>
      </c>
      <c r="E239" s="348">
        <v>777</v>
      </c>
      <c r="F239" s="345">
        <f t="shared" ref="F239:F241" si="8">C239-E239</f>
        <v>-464</v>
      </c>
      <c r="G239" s="346">
        <f t="shared" ref="G239:G241" si="9">F239/E239*100</f>
        <v>-59.7168597168597</v>
      </c>
      <c r="H239" s="348">
        <v>655.802088</v>
      </c>
      <c r="I239" s="345">
        <f t="shared" ref="I239:I241" si="10">H239-B239</f>
        <v>329.802088</v>
      </c>
      <c r="J239" s="349">
        <f t="shared" ref="J239:J241" si="11">I239/B239*100</f>
        <v>101.166284662577</v>
      </c>
      <c r="K239" s="325"/>
      <c r="L239" s="325">
        <f t="shared" si="3"/>
        <v>968.802088</v>
      </c>
      <c r="O239" s="325"/>
      <c r="P239" s="363"/>
      <c r="Q239" s="363"/>
      <c r="R239" s="364"/>
    </row>
    <row r="240" s="325" customFormat="1" ht="16.5" customHeight="1" spans="1:18">
      <c r="A240" s="344" t="s">
        <v>286</v>
      </c>
      <c r="B240" s="345">
        <f>B241+B244+B255+B262+B270+B279+B293+B303+B313+B321+B327</f>
        <v>89164</v>
      </c>
      <c r="C240" s="345">
        <f>C241+C244+C255+C262+C270+C279+C293+C303+C313+C321+C327</f>
        <v>93132</v>
      </c>
      <c r="D240" s="349">
        <f t="shared" si="7"/>
        <v>104.450226548831</v>
      </c>
      <c r="E240" s="345">
        <f>E241+E244+E255+E262+E270+E279+E293+E303+E313+E321+E327</f>
        <v>89843</v>
      </c>
      <c r="F240" s="345">
        <f t="shared" si="8"/>
        <v>3289</v>
      </c>
      <c r="G240" s="346">
        <f t="shared" si="9"/>
        <v>3.66083055997685</v>
      </c>
      <c r="H240" s="345">
        <f>H241+H244+H255+H262+H270+H279+H293+H303+H313+H321+H327</f>
        <v>72374.201189</v>
      </c>
      <c r="I240" s="345">
        <f t="shared" si="10"/>
        <v>-16789.798811</v>
      </c>
      <c r="J240" s="346">
        <f t="shared" si="11"/>
        <v>-18.8302440570185</v>
      </c>
      <c r="L240" s="325">
        <f t="shared" si="3"/>
        <v>165506.201189</v>
      </c>
      <c r="P240" s="362"/>
      <c r="Q240" s="362"/>
      <c r="R240" s="364"/>
    </row>
    <row r="241" s="326" customFormat="1" ht="16.5" customHeight="1" spans="1:18">
      <c r="A241" s="347" t="s">
        <v>287</v>
      </c>
      <c r="B241" s="348">
        <v>253</v>
      </c>
      <c r="C241" s="348">
        <v>62</v>
      </c>
      <c r="D241" s="349">
        <f t="shared" si="7"/>
        <v>24.5059288537549</v>
      </c>
      <c r="E241" s="348">
        <v>63</v>
      </c>
      <c r="F241" s="345">
        <f t="shared" si="8"/>
        <v>-1</v>
      </c>
      <c r="G241" s="346">
        <f t="shared" si="9"/>
        <v>-1.58730158730159</v>
      </c>
      <c r="H241" s="348">
        <f>H242+H243</f>
        <v>196</v>
      </c>
      <c r="I241" s="345">
        <f t="shared" si="10"/>
        <v>-57</v>
      </c>
      <c r="J241" s="349">
        <f t="shared" si="11"/>
        <v>-22.5296442687747</v>
      </c>
      <c r="K241" s="325"/>
      <c r="L241" s="325">
        <f t="shared" si="3"/>
        <v>258</v>
      </c>
      <c r="O241" s="325"/>
      <c r="P241" s="363"/>
      <c r="Q241" s="363"/>
      <c r="R241" s="364"/>
    </row>
    <row r="242" ht="16.5" customHeight="1" spans="1:18">
      <c r="A242" s="347" t="s">
        <v>288</v>
      </c>
      <c r="B242" s="348"/>
      <c r="C242" s="348"/>
      <c r="D242" s="349"/>
      <c r="E242" s="348"/>
      <c r="F242" s="345"/>
      <c r="G242" s="346"/>
      <c r="H242" s="348">
        <v>15</v>
      </c>
      <c r="I242" s="345"/>
      <c r="J242" s="349"/>
      <c r="K242" s="325"/>
      <c r="L242" s="325">
        <f t="shared" si="3"/>
        <v>15</v>
      </c>
      <c r="O242" s="325"/>
      <c r="P242" s="363"/>
      <c r="Q242" s="363"/>
      <c r="R242" s="364"/>
    </row>
    <row r="243" ht="16.5" customHeight="1" spans="1:18">
      <c r="A243" s="347" t="s">
        <v>289</v>
      </c>
      <c r="B243" s="348"/>
      <c r="C243" s="348"/>
      <c r="D243" s="349"/>
      <c r="E243" s="348"/>
      <c r="F243" s="345"/>
      <c r="G243" s="346"/>
      <c r="H243" s="348">
        <v>181</v>
      </c>
      <c r="I243" s="345"/>
      <c r="J243" s="349"/>
      <c r="K243" s="325"/>
      <c r="L243" s="325">
        <f t="shared" si="3"/>
        <v>181</v>
      </c>
      <c r="O243" s="325"/>
      <c r="P243" s="363"/>
      <c r="Q243" s="363"/>
      <c r="R243" s="364"/>
    </row>
    <row r="244" s="326" customFormat="1" ht="16.5" customHeight="1" spans="1:18">
      <c r="A244" s="347" t="s">
        <v>290</v>
      </c>
      <c r="B244" s="348">
        <v>51816</v>
      </c>
      <c r="C244" s="348">
        <v>46255</v>
      </c>
      <c r="D244" s="349">
        <f>C244/B244*100</f>
        <v>89.2677937316659</v>
      </c>
      <c r="E244" s="348">
        <v>44817</v>
      </c>
      <c r="F244" s="345">
        <f>C244-E244</f>
        <v>1438</v>
      </c>
      <c r="G244" s="346">
        <f>F244/E244*100</f>
        <v>3.20860387799273</v>
      </c>
      <c r="H244" s="348">
        <f>SUM(H245:H254)</f>
        <v>38599.508099</v>
      </c>
      <c r="I244" s="345">
        <f>H244-B244</f>
        <v>-13216.491901</v>
      </c>
      <c r="J244" s="349">
        <f>I244/B244*100</f>
        <v>-25.5065846475992</v>
      </c>
      <c r="K244" s="325"/>
      <c r="L244" s="325">
        <f t="shared" si="3"/>
        <v>84854.508099</v>
      </c>
      <c r="O244" s="325"/>
      <c r="P244" s="363"/>
      <c r="Q244" s="363"/>
      <c r="R244" s="364"/>
    </row>
    <row r="245" ht="16.5" customHeight="1" spans="1:18">
      <c r="A245" s="347" t="s">
        <v>155</v>
      </c>
      <c r="B245" s="348"/>
      <c r="C245" s="348"/>
      <c r="D245" s="349"/>
      <c r="E245" s="348"/>
      <c r="F245" s="345"/>
      <c r="G245" s="346"/>
      <c r="H245" s="348">
        <v>22178.810665</v>
      </c>
      <c r="I245" s="345"/>
      <c r="J245" s="349"/>
      <c r="K245" s="325"/>
      <c r="L245" s="325">
        <f t="shared" si="3"/>
        <v>22178.810665</v>
      </c>
      <c r="O245" s="325"/>
      <c r="P245" s="363"/>
      <c r="Q245" s="363"/>
      <c r="R245" s="364"/>
    </row>
    <row r="246" ht="16.5" customHeight="1" spans="1:18">
      <c r="A246" s="347" t="s">
        <v>156</v>
      </c>
      <c r="B246" s="348"/>
      <c r="C246" s="348"/>
      <c r="D246" s="349"/>
      <c r="E246" s="348"/>
      <c r="F246" s="345"/>
      <c r="G246" s="346"/>
      <c r="H246" s="348">
        <v>14414.93</v>
      </c>
      <c r="I246" s="345"/>
      <c r="J246" s="349"/>
      <c r="K246" s="325"/>
      <c r="L246" s="325">
        <f t="shared" si="3"/>
        <v>14414.93</v>
      </c>
      <c r="O246" s="325"/>
      <c r="P246" s="363"/>
      <c r="Q246" s="363"/>
      <c r="R246" s="364"/>
    </row>
    <row r="247" ht="16.5" hidden="1" customHeight="1" spans="1:18">
      <c r="A247" s="347" t="s">
        <v>157</v>
      </c>
      <c r="B247" s="348"/>
      <c r="C247" s="348"/>
      <c r="D247" s="349"/>
      <c r="E247" s="348"/>
      <c r="F247" s="345"/>
      <c r="G247" s="346"/>
      <c r="H247" s="348">
        <v>0</v>
      </c>
      <c r="I247" s="345"/>
      <c r="J247" s="349"/>
      <c r="K247" s="325"/>
      <c r="L247" s="325">
        <f t="shared" si="3"/>
        <v>0</v>
      </c>
      <c r="O247" s="325"/>
      <c r="P247" s="363"/>
      <c r="Q247" s="363"/>
      <c r="R247" s="364"/>
    </row>
    <row r="248" ht="16.5" hidden="1" customHeight="1" spans="1:18">
      <c r="A248" s="347" t="s">
        <v>195</v>
      </c>
      <c r="B248" s="348"/>
      <c r="C248" s="348"/>
      <c r="D248" s="349"/>
      <c r="E248" s="348"/>
      <c r="F248" s="345"/>
      <c r="G248" s="346"/>
      <c r="H248" s="348">
        <v>0</v>
      </c>
      <c r="I248" s="345"/>
      <c r="J248" s="349"/>
      <c r="K248" s="325"/>
      <c r="L248" s="325">
        <f t="shared" si="3"/>
        <v>0</v>
      </c>
      <c r="O248" s="325"/>
      <c r="P248" s="363"/>
      <c r="Q248" s="363"/>
      <c r="R248" s="364"/>
    </row>
    <row r="249" ht="16.5" customHeight="1" spans="1:18">
      <c r="A249" s="347" t="s">
        <v>291</v>
      </c>
      <c r="B249" s="348"/>
      <c r="C249" s="348"/>
      <c r="D249" s="349"/>
      <c r="E249" s="348"/>
      <c r="F249" s="345"/>
      <c r="G249" s="346"/>
      <c r="H249" s="348">
        <v>1763</v>
      </c>
      <c r="I249" s="345"/>
      <c r="J249" s="349"/>
      <c r="K249" s="325"/>
      <c r="L249" s="325">
        <f t="shared" si="3"/>
        <v>1763</v>
      </c>
      <c r="O249" s="325"/>
      <c r="P249" s="363"/>
      <c r="Q249" s="363"/>
      <c r="R249" s="364"/>
    </row>
    <row r="250" ht="16.5" hidden="1" customHeight="1" spans="1:18">
      <c r="A250" s="347" t="s">
        <v>292</v>
      </c>
      <c r="B250" s="348"/>
      <c r="C250" s="348"/>
      <c r="D250" s="349"/>
      <c r="E250" s="348"/>
      <c r="F250" s="345"/>
      <c r="G250" s="346"/>
      <c r="H250" s="348">
        <v>0</v>
      </c>
      <c r="I250" s="345"/>
      <c r="J250" s="349"/>
      <c r="K250" s="325"/>
      <c r="L250" s="325">
        <f t="shared" si="3"/>
        <v>0</v>
      </c>
      <c r="O250" s="325"/>
      <c r="P250" s="363"/>
      <c r="Q250" s="363"/>
      <c r="R250" s="364"/>
    </row>
    <row r="251" ht="16.5" hidden="1" customHeight="1" spans="1:18">
      <c r="A251" s="347" t="s">
        <v>293</v>
      </c>
      <c r="B251" s="348"/>
      <c r="C251" s="348"/>
      <c r="D251" s="349"/>
      <c r="E251" s="348"/>
      <c r="F251" s="345"/>
      <c r="G251" s="346"/>
      <c r="H251" s="348">
        <v>0</v>
      </c>
      <c r="I251" s="345"/>
      <c r="J251" s="349"/>
      <c r="K251" s="325"/>
      <c r="L251" s="325">
        <f t="shared" si="3"/>
        <v>0</v>
      </c>
      <c r="O251" s="325"/>
      <c r="P251" s="363"/>
      <c r="Q251" s="363"/>
      <c r="R251" s="364"/>
    </row>
    <row r="252" ht="16.5" customHeight="1" spans="1:18">
      <c r="A252" s="347" t="s">
        <v>294</v>
      </c>
      <c r="B252" s="348"/>
      <c r="C252" s="348"/>
      <c r="D252" s="349"/>
      <c r="E252" s="348"/>
      <c r="F252" s="345"/>
      <c r="G252" s="346"/>
      <c r="H252" s="348">
        <v>157</v>
      </c>
      <c r="I252" s="345"/>
      <c r="J252" s="349"/>
      <c r="K252" s="325"/>
      <c r="L252" s="325">
        <f t="shared" si="3"/>
        <v>157</v>
      </c>
      <c r="O252" s="325"/>
      <c r="P252" s="363"/>
      <c r="Q252" s="363"/>
      <c r="R252" s="364"/>
    </row>
    <row r="253" ht="16.5" customHeight="1" spans="1:18">
      <c r="A253" s="347" t="s">
        <v>164</v>
      </c>
      <c r="B253" s="348"/>
      <c r="C253" s="348"/>
      <c r="D253" s="349"/>
      <c r="E253" s="348"/>
      <c r="F253" s="345"/>
      <c r="G253" s="346"/>
      <c r="H253" s="348">
        <v>7.807434</v>
      </c>
      <c r="I253" s="345"/>
      <c r="J253" s="349"/>
      <c r="K253" s="325"/>
      <c r="L253" s="325">
        <f t="shared" si="3"/>
        <v>7.807434</v>
      </c>
      <c r="O253" s="325"/>
      <c r="P253" s="363"/>
      <c r="Q253" s="363"/>
      <c r="R253" s="364"/>
    </row>
    <row r="254" ht="16.5" customHeight="1" spans="1:18">
      <c r="A254" s="347" t="s">
        <v>295</v>
      </c>
      <c r="B254" s="348"/>
      <c r="C254" s="348"/>
      <c r="D254" s="349"/>
      <c r="E254" s="348"/>
      <c r="F254" s="345"/>
      <c r="G254" s="346"/>
      <c r="H254" s="348">
        <v>77.96</v>
      </c>
      <c r="I254" s="345"/>
      <c r="J254" s="349"/>
      <c r="K254" s="325"/>
      <c r="L254" s="325">
        <f t="shared" si="3"/>
        <v>77.96</v>
      </c>
      <c r="O254" s="325"/>
      <c r="P254" s="363"/>
      <c r="Q254" s="363"/>
      <c r="R254" s="364"/>
    </row>
    <row r="255" s="326" customFormat="1" ht="16.5" customHeight="1" spans="1:18">
      <c r="A255" s="347" t="s">
        <v>296</v>
      </c>
      <c r="B255" s="348">
        <v>54</v>
      </c>
      <c r="C255" s="348">
        <v>99</v>
      </c>
      <c r="D255" s="349">
        <f>C255/B255*100</f>
        <v>183.333333333333</v>
      </c>
      <c r="E255" s="348">
        <v>54</v>
      </c>
      <c r="F255" s="345">
        <f>C255-E255</f>
        <v>45</v>
      </c>
      <c r="G255" s="346">
        <f>F255/E255*100</f>
        <v>83.3333333333333</v>
      </c>
      <c r="H255" s="348">
        <f>SUM(H256:H261)</f>
        <v>43.52</v>
      </c>
      <c r="I255" s="345">
        <f>H255-B255</f>
        <v>-10.48</v>
      </c>
      <c r="J255" s="349">
        <f>I255/B255*100</f>
        <v>-19.4074074074074</v>
      </c>
      <c r="K255" s="325"/>
      <c r="L255" s="325">
        <f t="shared" si="3"/>
        <v>142.52</v>
      </c>
      <c r="O255" s="325"/>
      <c r="P255" s="363"/>
      <c r="Q255" s="363"/>
      <c r="R255" s="364"/>
    </row>
    <row r="256" ht="16.5" hidden="1" customHeight="1" spans="1:18">
      <c r="A256" s="365" t="s">
        <v>155</v>
      </c>
      <c r="B256" s="348"/>
      <c r="C256" s="348"/>
      <c r="D256" s="349"/>
      <c r="E256" s="348"/>
      <c r="F256" s="345"/>
      <c r="G256" s="346"/>
      <c r="H256" s="348">
        <v>0</v>
      </c>
      <c r="I256" s="345"/>
      <c r="J256" s="349"/>
      <c r="K256" s="325"/>
      <c r="L256" s="325">
        <f t="shared" si="3"/>
        <v>0</v>
      </c>
      <c r="O256" s="325"/>
      <c r="P256" s="363"/>
      <c r="Q256" s="363"/>
      <c r="R256" s="364"/>
    </row>
    <row r="257" ht="16.5" hidden="1" customHeight="1" spans="1:18">
      <c r="A257" s="365" t="s">
        <v>156</v>
      </c>
      <c r="B257" s="348"/>
      <c r="C257" s="348"/>
      <c r="D257" s="349"/>
      <c r="E257" s="348"/>
      <c r="F257" s="345"/>
      <c r="G257" s="346"/>
      <c r="H257" s="348">
        <v>0</v>
      </c>
      <c r="I257" s="345"/>
      <c r="J257" s="349"/>
      <c r="K257" s="325"/>
      <c r="L257" s="325">
        <f t="shared" si="3"/>
        <v>0</v>
      </c>
      <c r="O257" s="325"/>
      <c r="P257" s="363"/>
      <c r="Q257" s="363"/>
      <c r="R257" s="364"/>
    </row>
    <row r="258" ht="16.5" hidden="1" customHeight="1" spans="1:18">
      <c r="A258" s="365" t="s">
        <v>157</v>
      </c>
      <c r="B258" s="348"/>
      <c r="C258" s="348"/>
      <c r="D258" s="349"/>
      <c r="E258" s="348"/>
      <c r="F258" s="345"/>
      <c r="G258" s="346"/>
      <c r="H258" s="348">
        <v>0</v>
      </c>
      <c r="I258" s="345"/>
      <c r="J258" s="349"/>
      <c r="K258" s="325"/>
      <c r="L258" s="325">
        <f t="shared" si="3"/>
        <v>0</v>
      </c>
      <c r="O258" s="325"/>
      <c r="P258" s="363"/>
      <c r="Q258" s="363"/>
      <c r="R258" s="364"/>
    </row>
    <row r="259" ht="16.5" hidden="1" customHeight="1" spans="1:18">
      <c r="A259" s="365" t="s">
        <v>297</v>
      </c>
      <c r="B259" s="348"/>
      <c r="C259" s="348"/>
      <c r="D259" s="349"/>
      <c r="E259" s="348"/>
      <c r="F259" s="345"/>
      <c r="G259" s="346"/>
      <c r="H259" s="348">
        <v>0</v>
      </c>
      <c r="I259" s="345"/>
      <c r="J259" s="349"/>
      <c r="K259" s="325"/>
      <c r="L259" s="325">
        <f t="shared" si="3"/>
        <v>0</v>
      </c>
      <c r="O259" s="325"/>
      <c r="P259" s="363"/>
      <c r="Q259" s="363"/>
      <c r="R259" s="364"/>
    </row>
    <row r="260" ht="16.5" hidden="1" customHeight="1" spans="1:18">
      <c r="A260" s="365" t="s">
        <v>164</v>
      </c>
      <c r="B260" s="348"/>
      <c r="C260" s="348"/>
      <c r="D260" s="349"/>
      <c r="E260" s="348"/>
      <c r="F260" s="345"/>
      <c r="G260" s="346"/>
      <c r="H260" s="348">
        <v>0</v>
      </c>
      <c r="I260" s="345"/>
      <c r="J260" s="349"/>
      <c r="K260" s="325"/>
      <c r="L260" s="325">
        <f t="shared" si="3"/>
        <v>0</v>
      </c>
      <c r="O260" s="325"/>
      <c r="P260" s="363"/>
      <c r="Q260" s="363"/>
      <c r="R260" s="364"/>
    </row>
    <row r="261" ht="16.5" customHeight="1" spans="1:18">
      <c r="A261" s="365" t="s">
        <v>298</v>
      </c>
      <c r="B261" s="348"/>
      <c r="C261" s="348"/>
      <c r="D261" s="349"/>
      <c r="E261" s="348"/>
      <c r="F261" s="345"/>
      <c r="G261" s="346"/>
      <c r="H261" s="348">
        <v>43.52</v>
      </c>
      <c r="I261" s="345"/>
      <c r="J261" s="349"/>
      <c r="K261" s="325"/>
      <c r="L261" s="325">
        <f t="shared" si="3"/>
        <v>43.52</v>
      </c>
      <c r="O261" s="325"/>
      <c r="P261" s="363"/>
      <c r="Q261" s="363"/>
      <c r="R261" s="364"/>
    </row>
    <row r="262" s="326" customFormat="1" ht="16.5" customHeight="1" spans="1:18">
      <c r="A262" s="347" t="s">
        <v>299</v>
      </c>
      <c r="B262" s="348">
        <v>11217</v>
      </c>
      <c r="C262" s="348">
        <v>13408</v>
      </c>
      <c r="D262" s="349">
        <f>C262/B262*100</f>
        <v>119.532851921191</v>
      </c>
      <c r="E262" s="348">
        <v>12461</v>
      </c>
      <c r="F262" s="345">
        <f>C262-E262</f>
        <v>947</v>
      </c>
      <c r="G262" s="346">
        <f>F262/E262*100</f>
        <v>7.59971109862772</v>
      </c>
      <c r="H262" s="348">
        <f>SUM(H263:H269)</f>
        <v>10520.525125</v>
      </c>
      <c r="I262" s="345">
        <f>H262-B262</f>
        <v>-696.474875</v>
      </c>
      <c r="J262" s="349">
        <f>I262/B262*100</f>
        <v>-6.20910114112508</v>
      </c>
      <c r="K262" s="325"/>
      <c r="L262" s="325">
        <f t="shared" si="3"/>
        <v>23928.525125</v>
      </c>
      <c r="O262" s="325"/>
      <c r="P262" s="363"/>
      <c r="Q262" s="363"/>
      <c r="R262" s="364"/>
    </row>
    <row r="263" ht="16.5" customHeight="1" spans="1:18">
      <c r="A263" s="347" t="s">
        <v>155</v>
      </c>
      <c r="B263" s="348"/>
      <c r="C263" s="348"/>
      <c r="D263" s="349"/>
      <c r="E263" s="348"/>
      <c r="F263" s="345"/>
      <c r="G263" s="346"/>
      <c r="H263" s="348">
        <v>7730.393014</v>
      </c>
      <c r="I263" s="345"/>
      <c r="J263" s="349"/>
      <c r="K263" s="325"/>
      <c r="L263" s="325">
        <f t="shared" si="3"/>
        <v>7730.393014</v>
      </c>
      <c r="O263" s="325"/>
      <c r="P263" s="363"/>
      <c r="Q263" s="363"/>
      <c r="R263" s="364"/>
    </row>
    <row r="264" ht="16.5" customHeight="1" spans="1:18">
      <c r="A264" s="347" t="s">
        <v>156</v>
      </c>
      <c r="B264" s="348"/>
      <c r="C264" s="348"/>
      <c r="D264" s="349"/>
      <c r="E264" s="348"/>
      <c r="F264" s="345"/>
      <c r="G264" s="346"/>
      <c r="H264" s="348">
        <v>2783.412111</v>
      </c>
      <c r="I264" s="345"/>
      <c r="J264" s="349"/>
      <c r="K264" s="325"/>
      <c r="L264" s="325">
        <f t="shared" ref="L264:L327" si="12">C264+H264</f>
        <v>2783.412111</v>
      </c>
      <c r="O264" s="325"/>
      <c r="P264" s="363"/>
      <c r="Q264" s="363"/>
      <c r="R264" s="364"/>
    </row>
    <row r="265" ht="16.5" hidden="1" customHeight="1" spans="1:18">
      <c r="A265" s="347" t="s">
        <v>157</v>
      </c>
      <c r="B265" s="348"/>
      <c r="C265" s="348"/>
      <c r="D265" s="349"/>
      <c r="E265" s="348"/>
      <c r="F265" s="345"/>
      <c r="G265" s="346"/>
      <c r="H265" s="348">
        <v>0</v>
      </c>
      <c r="I265" s="345"/>
      <c r="J265" s="349"/>
      <c r="K265" s="325"/>
      <c r="L265" s="325">
        <f t="shared" si="12"/>
        <v>0</v>
      </c>
      <c r="O265" s="325"/>
      <c r="P265" s="363"/>
      <c r="Q265" s="363"/>
      <c r="R265" s="364"/>
    </row>
    <row r="266" ht="16.5" hidden="1" customHeight="1" spans="1:18">
      <c r="A266" s="347" t="s">
        <v>300</v>
      </c>
      <c r="B266" s="348"/>
      <c r="C266" s="348"/>
      <c r="D266" s="349"/>
      <c r="E266" s="348"/>
      <c r="F266" s="345"/>
      <c r="G266" s="346"/>
      <c r="H266" s="348">
        <v>0</v>
      </c>
      <c r="I266" s="345"/>
      <c r="J266" s="349"/>
      <c r="K266" s="325"/>
      <c r="L266" s="325">
        <f t="shared" si="12"/>
        <v>0</v>
      </c>
      <c r="O266" s="325"/>
      <c r="P266" s="363"/>
      <c r="Q266" s="363"/>
      <c r="R266" s="364"/>
    </row>
    <row r="267" ht="16.5" hidden="1" customHeight="1" spans="1:18">
      <c r="A267" s="347" t="s">
        <v>301</v>
      </c>
      <c r="B267" s="348"/>
      <c r="C267" s="348"/>
      <c r="D267" s="349"/>
      <c r="E267" s="348"/>
      <c r="F267" s="345"/>
      <c r="G267" s="346"/>
      <c r="H267" s="348">
        <v>0</v>
      </c>
      <c r="I267" s="345"/>
      <c r="J267" s="349"/>
      <c r="K267" s="325"/>
      <c r="L267" s="325">
        <f t="shared" si="12"/>
        <v>0</v>
      </c>
      <c r="O267" s="325"/>
      <c r="P267" s="363"/>
      <c r="Q267" s="363"/>
      <c r="R267" s="364"/>
    </row>
    <row r="268" ht="16.5" customHeight="1" spans="1:18">
      <c r="A268" s="347" t="s">
        <v>164</v>
      </c>
      <c r="B268" s="348"/>
      <c r="C268" s="348"/>
      <c r="D268" s="349"/>
      <c r="E268" s="348"/>
      <c r="F268" s="345"/>
      <c r="G268" s="346"/>
      <c r="H268" s="348">
        <v>6.72</v>
      </c>
      <c r="I268" s="345"/>
      <c r="J268" s="349"/>
      <c r="K268" s="325"/>
      <c r="L268" s="325">
        <f t="shared" si="12"/>
        <v>6.72</v>
      </c>
      <c r="O268" s="325"/>
      <c r="P268" s="363"/>
      <c r="Q268" s="363"/>
      <c r="R268" s="364"/>
    </row>
    <row r="269" ht="16.5" hidden="1" customHeight="1" spans="1:18">
      <c r="A269" s="347" t="s">
        <v>302</v>
      </c>
      <c r="B269" s="348"/>
      <c r="C269" s="348"/>
      <c r="D269" s="349"/>
      <c r="E269" s="348"/>
      <c r="F269" s="345"/>
      <c r="G269" s="346"/>
      <c r="H269" s="348">
        <v>0</v>
      </c>
      <c r="I269" s="345"/>
      <c r="J269" s="349"/>
      <c r="K269" s="325"/>
      <c r="L269" s="325">
        <f t="shared" si="12"/>
        <v>0</v>
      </c>
      <c r="O269" s="325"/>
      <c r="P269" s="363"/>
      <c r="Q269" s="363"/>
      <c r="R269" s="364"/>
    </row>
    <row r="270" s="326" customFormat="1" ht="16.5" customHeight="1" spans="1:18">
      <c r="A270" s="347" t="s">
        <v>303</v>
      </c>
      <c r="B270" s="348">
        <v>23179</v>
      </c>
      <c r="C270" s="348">
        <v>29877</v>
      </c>
      <c r="D270" s="349">
        <f>C270/B270*100</f>
        <v>128.896846283274</v>
      </c>
      <c r="E270" s="348">
        <v>29428</v>
      </c>
      <c r="F270" s="345">
        <f>C270-E270</f>
        <v>449</v>
      </c>
      <c r="G270" s="346">
        <f>F270/E270*100</f>
        <v>1.5257577817045</v>
      </c>
      <c r="H270" s="348">
        <f>SUM(H271:H278)</f>
        <v>20414.094872</v>
      </c>
      <c r="I270" s="345">
        <f>H270-B270</f>
        <v>-2764.905128</v>
      </c>
      <c r="J270" s="349">
        <f>I270/B270*100</f>
        <v>-11.9284918590103</v>
      </c>
      <c r="K270" s="325"/>
      <c r="L270" s="325">
        <f t="shared" si="12"/>
        <v>50291.094872</v>
      </c>
      <c r="O270" s="325"/>
      <c r="P270" s="363"/>
      <c r="Q270" s="363"/>
      <c r="R270" s="364"/>
    </row>
    <row r="271" ht="16.5" customHeight="1" spans="1:18">
      <c r="A271" s="347" t="s">
        <v>155</v>
      </c>
      <c r="B271" s="348"/>
      <c r="C271" s="348"/>
      <c r="D271" s="349"/>
      <c r="E271" s="348"/>
      <c r="F271" s="345"/>
      <c r="G271" s="346"/>
      <c r="H271" s="348">
        <v>17188.862237</v>
      </c>
      <c r="I271" s="345"/>
      <c r="J271" s="349"/>
      <c r="K271" s="325"/>
      <c r="L271" s="325">
        <f t="shared" si="12"/>
        <v>17188.862237</v>
      </c>
      <c r="O271" s="325"/>
      <c r="P271" s="363"/>
      <c r="Q271" s="363"/>
      <c r="R271" s="364"/>
    </row>
    <row r="272" ht="16.5" customHeight="1" spans="1:18">
      <c r="A272" s="347" t="s">
        <v>156</v>
      </c>
      <c r="B272" s="348"/>
      <c r="C272" s="348"/>
      <c r="D272" s="349"/>
      <c r="E272" s="348"/>
      <c r="F272" s="345"/>
      <c r="G272" s="346"/>
      <c r="H272" s="348">
        <v>2311.456634</v>
      </c>
      <c r="I272" s="345"/>
      <c r="J272" s="349"/>
      <c r="K272" s="325"/>
      <c r="L272" s="325">
        <f t="shared" si="12"/>
        <v>2311.456634</v>
      </c>
      <c r="O272" s="325"/>
      <c r="P272" s="363"/>
      <c r="Q272" s="363"/>
      <c r="R272" s="364"/>
    </row>
    <row r="273" ht="16.5" hidden="1" customHeight="1" spans="1:18">
      <c r="A273" s="347" t="s">
        <v>157</v>
      </c>
      <c r="B273" s="348"/>
      <c r="C273" s="348"/>
      <c r="D273" s="349"/>
      <c r="E273" s="348"/>
      <c r="F273" s="345"/>
      <c r="G273" s="346"/>
      <c r="H273" s="348">
        <v>0</v>
      </c>
      <c r="I273" s="345"/>
      <c r="J273" s="349"/>
      <c r="K273" s="325"/>
      <c r="L273" s="325">
        <f t="shared" si="12"/>
        <v>0</v>
      </c>
      <c r="O273" s="325"/>
      <c r="P273" s="363"/>
      <c r="Q273" s="363"/>
      <c r="R273" s="364"/>
    </row>
    <row r="274" ht="16.5" hidden="1" customHeight="1" spans="1:18">
      <c r="A274" s="347" t="s">
        <v>304</v>
      </c>
      <c r="B274" s="348"/>
      <c r="C274" s="348"/>
      <c r="D274" s="349"/>
      <c r="E274" s="348"/>
      <c r="F274" s="345"/>
      <c r="G274" s="346"/>
      <c r="H274" s="348">
        <v>0</v>
      </c>
      <c r="I274" s="345"/>
      <c r="J274" s="349"/>
      <c r="K274" s="325"/>
      <c r="L274" s="325">
        <f t="shared" si="12"/>
        <v>0</v>
      </c>
      <c r="O274" s="325"/>
      <c r="P274" s="363"/>
      <c r="Q274" s="363"/>
      <c r="R274" s="364"/>
    </row>
    <row r="275" ht="16.5" hidden="1" customHeight="1" spans="1:18">
      <c r="A275" s="347" t="s">
        <v>305</v>
      </c>
      <c r="B275" s="348"/>
      <c r="C275" s="348"/>
      <c r="D275" s="349"/>
      <c r="E275" s="348"/>
      <c r="F275" s="345"/>
      <c r="G275" s="346"/>
      <c r="H275" s="348">
        <v>0</v>
      </c>
      <c r="I275" s="345"/>
      <c r="J275" s="349"/>
      <c r="K275" s="325"/>
      <c r="L275" s="325">
        <f t="shared" si="12"/>
        <v>0</v>
      </c>
      <c r="O275" s="325"/>
      <c r="P275" s="363"/>
      <c r="Q275" s="363"/>
      <c r="R275" s="364"/>
    </row>
    <row r="276" ht="16.5" hidden="1" customHeight="1" spans="1:18">
      <c r="A276" s="347" t="s">
        <v>306</v>
      </c>
      <c r="B276" s="348"/>
      <c r="C276" s="348"/>
      <c r="D276" s="349"/>
      <c r="E276" s="348"/>
      <c r="F276" s="345"/>
      <c r="G276" s="346"/>
      <c r="H276" s="348">
        <v>0</v>
      </c>
      <c r="I276" s="345"/>
      <c r="J276" s="349"/>
      <c r="K276" s="325"/>
      <c r="L276" s="325">
        <f t="shared" si="12"/>
        <v>0</v>
      </c>
      <c r="O276" s="325"/>
      <c r="P276" s="363"/>
      <c r="Q276" s="363"/>
      <c r="R276" s="364"/>
    </row>
    <row r="277" ht="16.5" hidden="1" customHeight="1" spans="1:18">
      <c r="A277" s="347" t="s">
        <v>164</v>
      </c>
      <c r="B277" s="348"/>
      <c r="C277" s="348"/>
      <c r="D277" s="349"/>
      <c r="E277" s="348"/>
      <c r="F277" s="345"/>
      <c r="G277" s="346"/>
      <c r="H277" s="348">
        <v>0</v>
      </c>
      <c r="I277" s="345"/>
      <c r="J277" s="349"/>
      <c r="K277" s="325"/>
      <c r="L277" s="325">
        <f t="shared" si="12"/>
        <v>0</v>
      </c>
      <c r="O277" s="325"/>
      <c r="P277" s="363"/>
      <c r="Q277" s="363"/>
      <c r="R277" s="364"/>
    </row>
    <row r="278" ht="16.5" customHeight="1" spans="1:18">
      <c r="A278" s="347" t="s">
        <v>307</v>
      </c>
      <c r="B278" s="348"/>
      <c r="C278" s="348"/>
      <c r="D278" s="349"/>
      <c r="E278" s="348"/>
      <c r="F278" s="345"/>
      <c r="G278" s="346"/>
      <c r="H278" s="348">
        <v>913.776001</v>
      </c>
      <c r="I278" s="345"/>
      <c r="J278" s="349"/>
      <c r="K278" s="325"/>
      <c r="L278" s="325">
        <f t="shared" si="12"/>
        <v>913.776001</v>
      </c>
      <c r="O278" s="325"/>
      <c r="P278" s="363"/>
      <c r="Q278" s="363"/>
      <c r="R278" s="364"/>
    </row>
    <row r="279" s="326" customFormat="1" ht="16.5" customHeight="1" spans="1:18">
      <c r="A279" s="347" t="s">
        <v>308</v>
      </c>
      <c r="B279" s="348">
        <v>1129</v>
      </c>
      <c r="C279" s="348">
        <v>1247</v>
      </c>
      <c r="D279" s="349">
        <f>C279/B279*100</f>
        <v>110.451727192205</v>
      </c>
      <c r="E279" s="348">
        <v>1011</v>
      </c>
      <c r="F279" s="345">
        <f>C279-E279</f>
        <v>236</v>
      </c>
      <c r="G279" s="346">
        <f>F279/E279*100</f>
        <v>23.3432245301682</v>
      </c>
      <c r="H279" s="348">
        <f>SUM(H280:H292)</f>
        <v>1071.432383</v>
      </c>
      <c r="I279" s="345">
        <f>H279-B279</f>
        <v>-57.5676170000002</v>
      </c>
      <c r="J279" s="349">
        <f>I279/B279*100</f>
        <v>-5.0989917626218</v>
      </c>
      <c r="K279" s="325"/>
      <c r="L279" s="325">
        <f t="shared" si="12"/>
        <v>2318.432383</v>
      </c>
      <c r="O279" s="325"/>
      <c r="P279" s="363"/>
      <c r="Q279" s="363"/>
      <c r="R279" s="364"/>
    </row>
    <row r="280" ht="16.5" customHeight="1" spans="1:18">
      <c r="A280" s="347" t="s">
        <v>155</v>
      </c>
      <c r="B280" s="348"/>
      <c r="C280" s="348"/>
      <c r="D280" s="349"/>
      <c r="E280" s="348"/>
      <c r="F280" s="345"/>
      <c r="G280" s="346"/>
      <c r="H280" s="348">
        <v>699.250291</v>
      </c>
      <c r="I280" s="345"/>
      <c r="J280" s="349"/>
      <c r="K280" s="325"/>
      <c r="L280" s="325">
        <f t="shared" si="12"/>
        <v>699.250291</v>
      </c>
      <c r="O280" s="325"/>
      <c r="P280" s="363"/>
      <c r="Q280" s="363"/>
      <c r="R280" s="364"/>
    </row>
    <row r="281" ht="16.5" customHeight="1" spans="1:18">
      <c r="A281" s="347" t="s">
        <v>156</v>
      </c>
      <c r="B281" s="348"/>
      <c r="C281" s="348"/>
      <c r="D281" s="349"/>
      <c r="E281" s="348"/>
      <c r="F281" s="345"/>
      <c r="G281" s="346"/>
      <c r="H281" s="348">
        <v>348.031631</v>
      </c>
      <c r="I281" s="345"/>
      <c r="J281" s="349"/>
      <c r="K281" s="325"/>
      <c r="L281" s="325">
        <f t="shared" si="12"/>
        <v>348.031631</v>
      </c>
      <c r="O281" s="325"/>
      <c r="P281" s="363"/>
      <c r="Q281" s="363"/>
      <c r="R281" s="364"/>
    </row>
    <row r="282" ht="16.5" hidden="1" customHeight="1" spans="1:18">
      <c r="A282" s="347" t="s">
        <v>157</v>
      </c>
      <c r="B282" s="348"/>
      <c r="C282" s="348"/>
      <c r="D282" s="349"/>
      <c r="E282" s="348"/>
      <c r="F282" s="345"/>
      <c r="G282" s="346"/>
      <c r="H282" s="348">
        <v>0</v>
      </c>
      <c r="I282" s="345"/>
      <c r="J282" s="349"/>
      <c r="K282" s="325"/>
      <c r="L282" s="325">
        <f t="shared" si="12"/>
        <v>0</v>
      </c>
      <c r="O282" s="325"/>
      <c r="P282" s="363"/>
      <c r="Q282" s="363"/>
      <c r="R282" s="364"/>
    </row>
    <row r="283" ht="16.5" hidden="1" customHeight="1" spans="1:18">
      <c r="A283" s="347" t="s">
        <v>309</v>
      </c>
      <c r="B283" s="348"/>
      <c r="C283" s="348"/>
      <c r="D283" s="349"/>
      <c r="E283" s="348"/>
      <c r="F283" s="345"/>
      <c r="G283" s="346"/>
      <c r="H283" s="348">
        <v>0</v>
      </c>
      <c r="I283" s="345"/>
      <c r="J283" s="349"/>
      <c r="K283" s="325"/>
      <c r="L283" s="325">
        <f t="shared" si="12"/>
        <v>0</v>
      </c>
      <c r="O283" s="325"/>
      <c r="P283" s="363"/>
      <c r="Q283" s="363"/>
      <c r="R283" s="364"/>
    </row>
    <row r="284" ht="16.5" hidden="1" customHeight="1" spans="1:18">
      <c r="A284" s="347" t="s">
        <v>310</v>
      </c>
      <c r="B284" s="348"/>
      <c r="C284" s="348"/>
      <c r="D284" s="349"/>
      <c r="E284" s="348"/>
      <c r="F284" s="345"/>
      <c r="G284" s="346"/>
      <c r="H284" s="348">
        <v>0</v>
      </c>
      <c r="I284" s="345"/>
      <c r="J284" s="349"/>
      <c r="K284" s="325"/>
      <c r="L284" s="325">
        <f t="shared" si="12"/>
        <v>0</v>
      </c>
      <c r="O284" s="325"/>
      <c r="P284" s="363"/>
      <c r="Q284" s="363"/>
      <c r="R284" s="364"/>
    </row>
    <row r="285" ht="16.5" hidden="1" customHeight="1" spans="1:18">
      <c r="A285" s="347" t="s">
        <v>311</v>
      </c>
      <c r="B285" s="348"/>
      <c r="C285" s="348"/>
      <c r="D285" s="349"/>
      <c r="E285" s="348"/>
      <c r="F285" s="345"/>
      <c r="G285" s="346"/>
      <c r="H285" s="348">
        <v>0</v>
      </c>
      <c r="I285" s="345"/>
      <c r="J285" s="349"/>
      <c r="K285" s="325"/>
      <c r="L285" s="325">
        <f t="shared" si="12"/>
        <v>0</v>
      </c>
      <c r="O285" s="325"/>
      <c r="P285" s="363"/>
      <c r="Q285" s="363"/>
      <c r="R285" s="364"/>
    </row>
    <row r="286" ht="16.5" hidden="1" customHeight="1" spans="1:18">
      <c r="A286" s="347" t="s">
        <v>312</v>
      </c>
      <c r="B286" s="348"/>
      <c r="C286" s="348"/>
      <c r="D286" s="349"/>
      <c r="E286" s="348"/>
      <c r="F286" s="345"/>
      <c r="G286" s="346"/>
      <c r="H286" s="348">
        <v>0</v>
      </c>
      <c r="I286" s="345"/>
      <c r="J286" s="349"/>
      <c r="K286" s="325"/>
      <c r="L286" s="325">
        <f t="shared" si="12"/>
        <v>0</v>
      </c>
      <c r="O286" s="325"/>
      <c r="P286" s="363"/>
      <c r="Q286" s="363"/>
      <c r="R286" s="364"/>
    </row>
    <row r="287" ht="16.5" hidden="1" customHeight="1" spans="1:18">
      <c r="A287" s="347" t="s">
        <v>313</v>
      </c>
      <c r="B287" s="348"/>
      <c r="C287" s="348"/>
      <c r="D287" s="349"/>
      <c r="E287" s="348"/>
      <c r="F287" s="345"/>
      <c r="G287" s="346"/>
      <c r="H287" s="348">
        <v>0</v>
      </c>
      <c r="I287" s="345"/>
      <c r="J287" s="349"/>
      <c r="K287" s="325"/>
      <c r="L287" s="325">
        <f t="shared" si="12"/>
        <v>0</v>
      </c>
      <c r="O287" s="325"/>
      <c r="P287" s="363"/>
      <c r="Q287" s="363"/>
      <c r="R287" s="364"/>
    </row>
    <row r="288" ht="16.5" customHeight="1" spans="1:18">
      <c r="A288" s="347" t="s">
        <v>314</v>
      </c>
      <c r="B288" s="348"/>
      <c r="C288" s="348"/>
      <c r="D288" s="349"/>
      <c r="E288" s="348"/>
      <c r="F288" s="345"/>
      <c r="G288" s="346"/>
      <c r="H288" s="348">
        <v>3</v>
      </c>
      <c r="I288" s="345"/>
      <c r="J288" s="349"/>
      <c r="K288" s="325"/>
      <c r="L288" s="325">
        <f t="shared" si="12"/>
        <v>3</v>
      </c>
      <c r="O288" s="325"/>
      <c r="P288" s="363"/>
      <c r="Q288" s="363"/>
      <c r="R288" s="364"/>
    </row>
    <row r="289" ht="16.5" hidden="1" customHeight="1" spans="1:18">
      <c r="A289" s="347" t="s">
        <v>315</v>
      </c>
      <c r="B289" s="348"/>
      <c r="C289" s="348"/>
      <c r="D289" s="349"/>
      <c r="E289" s="348"/>
      <c r="F289" s="345"/>
      <c r="G289" s="346"/>
      <c r="H289" s="348">
        <v>0</v>
      </c>
      <c r="I289" s="345"/>
      <c r="J289" s="349"/>
      <c r="K289" s="325"/>
      <c r="L289" s="325">
        <f t="shared" si="12"/>
        <v>0</v>
      </c>
      <c r="O289" s="325"/>
      <c r="P289" s="363"/>
      <c r="Q289" s="363"/>
      <c r="R289" s="364"/>
    </row>
    <row r="290" ht="16.5" hidden="1" customHeight="1" spans="1:18">
      <c r="A290" s="347" t="s">
        <v>195</v>
      </c>
      <c r="B290" s="348"/>
      <c r="C290" s="348"/>
      <c r="D290" s="349"/>
      <c r="E290" s="348"/>
      <c r="F290" s="345"/>
      <c r="G290" s="346"/>
      <c r="H290" s="348">
        <v>0</v>
      </c>
      <c r="I290" s="345"/>
      <c r="J290" s="349"/>
      <c r="K290" s="325"/>
      <c r="L290" s="325">
        <f t="shared" si="12"/>
        <v>0</v>
      </c>
      <c r="O290" s="325"/>
      <c r="P290" s="363"/>
      <c r="Q290" s="363"/>
      <c r="R290" s="364"/>
    </row>
    <row r="291" ht="16.5" customHeight="1" spans="1:18">
      <c r="A291" s="347" t="s">
        <v>164</v>
      </c>
      <c r="B291" s="348"/>
      <c r="C291" s="348"/>
      <c r="D291" s="349"/>
      <c r="E291" s="348"/>
      <c r="F291" s="345"/>
      <c r="G291" s="346"/>
      <c r="H291" s="348">
        <v>21.150461</v>
      </c>
      <c r="I291" s="345"/>
      <c r="J291" s="349"/>
      <c r="K291" s="325"/>
      <c r="L291" s="325">
        <f t="shared" si="12"/>
        <v>21.150461</v>
      </c>
      <c r="O291" s="325"/>
      <c r="P291" s="363"/>
      <c r="Q291" s="363"/>
      <c r="R291" s="364"/>
    </row>
    <row r="292" ht="16.5" hidden="1" customHeight="1" spans="1:18">
      <c r="A292" s="347" t="s">
        <v>316</v>
      </c>
      <c r="B292" s="348"/>
      <c r="C292" s="348"/>
      <c r="D292" s="349"/>
      <c r="E292" s="348"/>
      <c r="F292" s="345"/>
      <c r="G292" s="346"/>
      <c r="H292" s="348">
        <v>0</v>
      </c>
      <c r="I292" s="345"/>
      <c r="J292" s="349"/>
      <c r="K292" s="325"/>
      <c r="L292" s="325">
        <f t="shared" si="12"/>
        <v>0</v>
      </c>
      <c r="O292" s="325"/>
      <c r="P292" s="363"/>
      <c r="Q292" s="363"/>
      <c r="R292" s="364"/>
    </row>
    <row r="293" s="326" customFormat="1" ht="16.5" hidden="1" customHeight="1" spans="1:18">
      <c r="A293" s="347" t="s">
        <v>317</v>
      </c>
      <c r="B293" s="348"/>
      <c r="C293" s="348"/>
      <c r="D293" s="349"/>
      <c r="E293" s="348"/>
      <c r="F293" s="345">
        <f>C293-E293</f>
        <v>0</v>
      </c>
      <c r="G293" s="346"/>
      <c r="H293" s="348"/>
      <c r="I293" s="345">
        <f>H293-B293</f>
        <v>0</v>
      </c>
      <c r="J293" s="349"/>
      <c r="K293" s="325"/>
      <c r="L293" s="325">
        <f t="shared" si="12"/>
        <v>0</v>
      </c>
      <c r="O293" s="325"/>
      <c r="P293" s="363"/>
      <c r="Q293" s="363"/>
      <c r="R293" s="364"/>
    </row>
    <row r="294" ht="16.5" hidden="1" customHeight="1" spans="1:18">
      <c r="A294" s="347" t="s">
        <v>155</v>
      </c>
      <c r="B294" s="348"/>
      <c r="C294" s="348"/>
      <c r="D294" s="349"/>
      <c r="E294" s="348"/>
      <c r="F294" s="345"/>
      <c r="G294" s="346"/>
      <c r="H294" s="348"/>
      <c r="I294" s="345"/>
      <c r="J294" s="349"/>
      <c r="K294" s="325"/>
      <c r="L294" s="325">
        <f t="shared" si="12"/>
        <v>0</v>
      </c>
      <c r="O294" s="325"/>
      <c r="P294" s="363"/>
      <c r="Q294" s="363"/>
      <c r="R294" s="364"/>
    </row>
    <row r="295" ht="16.5" hidden="1" customHeight="1" spans="1:18">
      <c r="A295" s="347" t="s">
        <v>156</v>
      </c>
      <c r="B295" s="348"/>
      <c r="C295" s="348"/>
      <c r="D295" s="349"/>
      <c r="E295" s="348"/>
      <c r="F295" s="345"/>
      <c r="G295" s="346"/>
      <c r="H295" s="348"/>
      <c r="I295" s="345"/>
      <c r="J295" s="349"/>
      <c r="K295" s="325"/>
      <c r="L295" s="325">
        <f t="shared" si="12"/>
        <v>0</v>
      </c>
      <c r="O295" s="325"/>
      <c r="P295" s="363"/>
      <c r="Q295" s="363"/>
      <c r="R295" s="364"/>
    </row>
    <row r="296" ht="16.5" hidden="1" customHeight="1" spans="1:18">
      <c r="A296" s="347" t="s">
        <v>157</v>
      </c>
      <c r="B296" s="348"/>
      <c r="C296" s="348"/>
      <c r="D296" s="349"/>
      <c r="E296" s="348"/>
      <c r="F296" s="345"/>
      <c r="G296" s="346"/>
      <c r="H296" s="348"/>
      <c r="I296" s="345"/>
      <c r="J296" s="349"/>
      <c r="K296" s="325"/>
      <c r="L296" s="325">
        <f t="shared" si="12"/>
        <v>0</v>
      </c>
      <c r="O296" s="325"/>
      <c r="P296" s="363"/>
      <c r="Q296" s="363"/>
      <c r="R296" s="364"/>
    </row>
    <row r="297" ht="16.5" hidden="1" customHeight="1" spans="1:18">
      <c r="A297" s="347" t="s">
        <v>318</v>
      </c>
      <c r="B297" s="348"/>
      <c r="C297" s="348"/>
      <c r="D297" s="349"/>
      <c r="E297" s="348"/>
      <c r="F297" s="345"/>
      <c r="G297" s="346"/>
      <c r="H297" s="348"/>
      <c r="I297" s="345"/>
      <c r="J297" s="349"/>
      <c r="K297" s="325"/>
      <c r="L297" s="325">
        <f t="shared" si="12"/>
        <v>0</v>
      </c>
      <c r="O297" s="325"/>
      <c r="P297" s="363"/>
      <c r="Q297" s="363"/>
      <c r="R297" s="364"/>
    </row>
    <row r="298" ht="16.5" hidden="1" customHeight="1" spans="1:18">
      <c r="A298" s="347" t="s">
        <v>319</v>
      </c>
      <c r="B298" s="348"/>
      <c r="C298" s="348"/>
      <c r="D298" s="349"/>
      <c r="E298" s="348"/>
      <c r="F298" s="345"/>
      <c r="G298" s="346"/>
      <c r="H298" s="348"/>
      <c r="I298" s="345"/>
      <c r="J298" s="349"/>
      <c r="K298" s="325"/>
      <c r="L298" s="325">
        <f t="shared" si="12"/>
        <v>0</v>
      </c>
      <c r="O298" s="325"/>
      <c r="P298" s="363"/>
      <c r="Q298" s="363"/>
      <c r="R298" s="364"/>
    </row>
    <row r="299" ht="16.5" hidden="1" customHeight="1" spans="1:18">
      <c r="A299" s="347" t="s">
        <v>320</v>
      </c>
      <c r="B299" s="348"/>
      <c r="C299" s="348"/>
      <c r="D299" s="349"/>
      <c r="E299" s="348"/>
      <c r="F299" s="345"/>
      <c r="G299" s="346"/>
      <c r="H299" s="348"/>
      <c r="I299" s="345"/>
      <c r="J299" s="349"/>
      <c r="K299" s="325"/>
      <c r="L299" s="325">
        <f t="shared" si="12"/>
        <v>0</v>
      </c>
      <c r="O299" s="325"/>
      <c r="P299" s="363"/>
      <c r="Q299" s="363"/>
      <c r="R299" s="364"/>
    </row>
    <row r="300" ht="16.5" hidden="1" customHeight="1" spans="1:18">
      <c r="A300" s="347" t="s">
        <v>195</v>
      </c>
      <c r="B300" s="348"/>
      <c r="C300" s="348"/>
      <c r="D300" s="349"/>
      <c r="E300" s="348"/>
      <c r="F300" s="345"/>
      <c r="G300" s="346"/>
      <c r="H300" s="348"/>
      <c r="I300" s="345"/>
      <c r="J300" s="349"/>
      <c r="K300" s="325"/>
      <c r="L300" s="325">
        <f t="shared" si="12"/>
        <v>0</v>
      </c>
      <c r="O300" s="325"/>
      <c r="P300" s="363"/>
      <c r="Q300" s="363"/>
      <c r="R300" s="364"/>
    </row>
    <row r="301" ht="16.5" hidden="1" customHeight="1" spans="1:18">
      <c r="A301" s="347" t="s">
        <v>164</v>
      </c>
      <c r="B301" s="348"/>
      <c r="C301" s="348"/>
      <c r="D301" s="349"/>
      <c r="E301" s="348"/>
      <c r="F301" s="345"/>
      <c r="G301" s="346"/>
      <c r="H301" s="348"/>
      <c r="I301" s="345"/>
      <c r="J301" s="349"/>
      <c r="K301" s="325"/>
      <c r="L301" s="325">
        <f t="shared" si="12"/>
        <v>0</v>
      </c>
      <c r="O301" s="325"/>
      <c r="P301" s="363"/>
      <c r="Q301" s="363"/>
      <c r="R301" s="364"/>
    </row>
    <row r="302" ht="16.5" hidden="1" customHeight="1" spans="1:18">
      <c r="A302" s="347" t="s">
        <v>321</v>
      </c>
      <c r="B302" s="348"/>
      <c r="C302" s="348"/>
      <c r="D302" s="349"/>
      <c r="E302" s="348"/>
      <c r="F302" s="345"/>
      <c r="G302" s="346"/>
      <c r="H302" s="348"/>
      <c r="I302" s="345"/>
      <c r="J302" s="349"/>
      <c r="K302" s="325"/>
      <c r="L302" s="325">
        <f t="shared" si="12"/>
        <v>0</v>
      </c>
      <c r="O302" s="325"/>
      <c r="P302" s="363"/>
      <c r="Q302" s="363"/>
      <c r="R302" s="364"/>
    </row>
    <row r="303" s="326" customFormat="1" ht="16.5" customHeight="1" spans="1:18">
      <c r="A303" s="347" t="s">
        <v>322</v>
      </c>
      <c r="B303" s="348">
        <v>873</v>
      </c>
      <c r="C303" s="348">
        <v>1247</v>
      </c>
      <c r="D303" s="349">
        <f>C303/B303*100</f>
        <v>142.840778923253</v>
      </c>
      <c r="E303" s="348">
        <v>1084</v>
      </c>
      <c r="F303" s="345">
        <f>C303-E303</f>
        <v>163</v>
      </c>
      <c r="G303" s="346">
        <f>F303/E303*100</f>
        <v>15.0369003690037</v>
      </c>
      <c r="H303" s="348">
        <f>SUM(H304:H312)</f>
        <v>885.12071</v>
      </c>
      <c r="I303" s="345">
        <f>H303-B303</f>
        <v>12.12071</v>
      </c>
      <c r="J303" s="349">
        <f>I303/B303*100</f>
        <v>1.38839747995418</v>
      </c>
      <c r="K303" s="325"/>
      <c r="L303" s="325">
        <f t="shared" si="12"/>
        <v>2132.12071</v>
      </c>
      <c r="O303" s="325"/>
      <c r="P303" s="363"/>
      <c r="Q303" s="363"/>
      <c r="R303" s="364"/>
    </row>
    <row r="304" ht="16.5" customHeight="1" spans="1:18">
      <c r="A304" s="347" t="s">
        <v>155</v>
      </c>
      <c r="B304" s="348"/>
      <c r="C304" s="348"/>
      <c r="D304" s="349"/>
      <c r="E304" s="348"/>
      <c r="F304" s="345"/>
      <c r="G304" s="346"/>
      <c r="H304" s="348">
        <v>830.86071</v>
      </c>
      <c r="I304" s="345"/>
      <c r="J304" s="349"/>
      <c r="K304" s="325"/>
      <c r="L304" s="325">
        <f t="shared" si="12"/>
        <v>830.86071</v>
      </c>
      <c r="O304" s="325"/>
      <c r="P304" s="363"/>
      <c r="Q304" s="363"/>
      <c r="R304" s="364"/>
    </row>
    <row r="305" ht="16.5" hidden="1" customHeight="1" spans="1:18">
      <c r="A305" s="347" t="s">
        <v>156</v>
      </c>
      <c r="B305" s="348"/>
      <c r="C305" s="348"/>
      <c r="D305" s="349"/>
      <c r="E305" s="348"/>
      <c r="F305" s="345"/>
      <c r="G305" s="346"/>
      <c r="H305" s="348">
        <v>0</v>
      </c>
      <c r="I305" s="345"/>
      <c r="J305" s="349"/>
      <c r="K305" s="325"/>
      <c r="L305" s="325">
        <f t="shared" si="12"/>
        <v>0</v>
      </c>
      <c r="O305" s="325"/>
      <c r="P305" s="363"/>
      <c r="Q305" s="363"/>
      <c r="R305" s="364"/>
    </row>
    <row r="306" ht="16.5" hidden="1" customHeight="1" spans="1:18">
      <c r="A306" s="347" t="s">
        <v>157</v>
      </c>
      <c r="B306" s="348"/>
      <c r="C306" s="348"/>
      <c r="D306" s="349"/>
      <c r="E306" s="348"/>
      <c r="F306" s="345"/>
      <c r="G306" s="346"/>
      <c r="H306" s="348">
        <v>0</v>
      </c>
      <c r="I306" s="345"/>
      <c r="J306" s="349"/>
      <c r="K306" s="325"/>
      <c r="L306" s="325">
        <f t="shared" si="12"/>
        <v>0</v>
      </c>
      <c r="O306" s="325"/>
      <c r="P306" s="363"/>
      <c r="Q306" s="363"/>
      <c r="R306" s="364"/>
    </row>
    <row r="307" ht="16.5" hidden="1" customHeight="1" spans="1:18">
      <c r="A307" s="347" t="s">
        <v>323</v>
      </c>
      <c r="B307" s="348"/>
      <c r="C307" s="348"/>
      <c r="D307" s="349"/>
      <c r="E307" s="348"/>
      <c r="F307" s="345"/>
      <c r="G307" s="346"/>
      <c r="H307" s="348">
        <v>0</v>
      </c>
      <c r="I307" s="345"/>
      <c r="J307" s="349"/>
      <c r="K307" s="325"/>
      <c r="L307" s="325">
        <f t="shared" si="12"/>
        <v>0</v>
      </c>
      <c r="O307" s="325"/>
      <c r="P307" s="363"/>
      <c r="Q307" s="363"/>
      <c r="R307" s="364"/>
    </row>
    <row r="308" ht="16.5" hidden="1" customHeight="1" spans="1:18">
      <c r="A308" s="347" t="s">
        <v>324</v>
      </c>
      <c r="B308" s="348"/>
      <c r="C308" s="348"/>
      <c r="D308" s="349"/>
      <c r="E308" s="348"/>
      <c r="F308" s="345"/>
      <c r="G308" s="346"/>
      <c r="H308" s="348">
        <v>0</v>
      </c>
      <c r="I308" s="345"/>
      <c r="J308" s="349"/>
      <c r="K308" s="325"/>
      <c r="L308" s="325">
        <f t="shared" si="12"/>
        <v>0</v>
      </c>
      <c r="O308" s="325"/>
      <c r="P308" s="363"/>
      <c r="Q308" s="363"/>
      <c r="R308" s="364"/>
    </row>
    <row r="309" ht="16.5" hidden="1" customHeight="1" spans="1:18">
      <c r="A309" s="347" t="s">
        <v>325</v>
      </c>
      <c r="B309" s="348"/>
      <c r="C309" s="348"/>
      <c r="D309" s="349"/>
      <c r="E309" s="348"/>
      <c r="F309" s="345"/>
      <c r="G309" s="346"/>
      <c r="H309" s="348">
        <v>0</v>
      </c>
      <c r="I309" s="345"/>
      <c r="J309" s="349"/>
      <c r="K309" s="325"/>
      <c r="L309" s="325">
        <f t="shared" si="12"/>
        <v>0</v>
      </c>
      <c r="O309" s="325"/>
      <c r="P309" s="363"/>
      <c r="Q309" s="363"/>
      <c r="R309" s="364"/>
    </row>
    <row r="310" ht="16.5" hidden="1" customHeight="1" spans="1:18">
      <c r="A310" s="347" t="s">
        <v>195</v>
      </c>
      <c r="B310" s="348"/>
      <c r="C310" s="348"/>
      <c r="D310" s="349"/>
      <c r="E310" s="348"/>
      <c r="F310" s="345"/>
      <c r="G310" s="346"/>
      <c r="H310" s="348">
        <v>0</v>
      </c>
      <c r="I310" s="345"/>
      <c r="J310" s="349"/>
      <c r="K310" s="325"/>
      <c r="L310" s="325">
        <f t="shared" si="12"/>
        <v>0</v>
      </c>
      <c r="O310" s="325"/>
      <c r="P310" s="363"/>
      <c r="Q310" s="363"/>
      <c r="R310" s="364"/>
    </row>
    <row r="311" ht="16.5" hidden="1" customHeight="1" spans="1:18">
      <c r="A311" s="347" t="s">
        <v>164</v>
      </c>
      <c r="B311" s="348"/>
      <c r="C311" s="348"/>
      <c r="D311" s="349"/>
      <c r="E311" s="348"/>
      <c r="F311" s="345"/>
      <c r="G311" s="346"/>
      <c r="H311" s="348">
        <v>0</v>
      </c>
      <c r="I311" s="345"/>
      <c r="J311" s="349"/>
      <c r="K311" s="325"/>
      <c r="L311" s="325">
        <f t="shared" si="12"/>
        <v>0</v>
      </c>
      <c r="O311" s="325"/>
      <c r="P311" s="363"/>
      <c r="Q311" s="363"/>
      <c r="R311" s="364"/>
    </row>
    <row r="312" ht="16.5" customHeight="1" spans="1:18">
      <c r="A312" s="347" t="s">
        <v>326</v>
      </c>
      <c r="B312" s="348"/>
      <c r="C312" s="348"/>
      <c r="D312" s="349"/>
      <c r="E312" s="348"/>
      <c r="F312" s="345"/>
      <c r="G312" s="346"/>
      <c r="H312" s="348">
        <v>54.26</v>
      </c>
      <c r="I312" s="345"/>
      <c r="J312" s="349"/>
      <c r="K312" s="325"/>
      <c r="L312" s="325">
        <f t="shared" si="12"/>
        <v>54.26</v>
      </c>
      <c r="O312" s="325"/>
      <c r="P312" s="363"/>
      <c r="Q312" s="363"/>
      <c r="R312" s="364"/>
    </row>
    <row r="313" s="326" customFormat="1" ht="16.5" hidden="1" customHeight="1" spans="1:18">
      <c r="A313" s="347" t="s">
        <v>327</v>
      </c>
      <c r="B313" s="348"/>
      <c r="C313" s="348"/>
      <c r="D313" s="349"/>
      <c r="E313" s="348"/>
      <c r="F313" s="345">
        <f>C313-E313</f>
        <v>0</v>
      </c>
      <c r="G313" s="346"/>
      <c r="H313" s="348"/>
      <c r="I313" s="345">
        <f>H313-B313</f>
        <v>0</v>
      </c>
      <c r="J313" s="349"/>
      <c r="K313" s="325"/>
      <c r="L313" s="325">
        <f t="shared" si="12"/>
        <v>0</v>
      </c>
      <c r="O313" s="325"/>
      <c r="P313" s="363"/>
      <c r="Q313" s="363"/>
      <c r="R313" s="364"/>
    </row>
    <row r="314" ht="16.5" hidden="1" customHeight="1" spans="1:18">
      <c r="A314" s="347" t="s">
        <v>155</v>
      </c>
      <c r="B314" s="348"/>
      <c r="C314" s="348"/>
      <c r="D314" s="349"/>
      <c r="E314" s="348"/>
      <c r="F314" s="345"/>
      <c r="G314" s="346"/>
      <c r="H314" s="348"/>
      <c r="I314" s="345"/>
      <c r="J314" s="349"/>
      <c r="K314" s="325"/>
      <c r="L314" s="325">
        <f t="shared" si="12"/>
        <v>0</v>
      </c>
      <c r="O314" s="325"/>
      <c r="P314" s="363"/>
      <c r="Q314" s="363"/>
      <c r="R314" s="364"/>
    </row>
    <row r="315" ht="16.5" hidden="1" customHeight="1" spans="1:18">
      <c r="A315" s="347" t="s">
        <v>156</v>
      </c>
      <c r="B315" s="348"/>
      <c r="C315" s="348"/>
      <c r="D315" s="349"/>
      <c r="E315" s="348"/>
      <c r="F315" s="345"/>
      <c r="G315" s="346"/>
      <c r="H315" s="348"/>
      <c r="I315" s="345"/>
      <c r="J315" s="349"/>
      <c r="K315" s="325"/>
      <c r="L315" s="325">
        <f t="shared" si="12"/>
        <v>0</v>
      </c>
      <c r="O315" s="325"/>
      <c r="P315" s="363"/>
      <c r="Q315" s="363"/>
      <c r="R315" s="364"/>
    </row>
    <row r="316" ht="16.5" hidden="1" customHeight="1" spans="1:18">
      <c r="A316" s="347" t="s">
        <v>157</v>
      </c>
      <c r="B316" s="348"/>
      <c r="C316" s="348"/>
      <c r="D316" s="349"/>
      <c r="E316" s="348"/>
      <c r="F316" s="345"/>
      <c r="G316" s="346"/>
      <c r="H316" s="348"/>
      <c r="I316" s="345"/>
      <c r="J316" s="349"/>
      <c r="K316" s="325"/>
      <c r="L316" s="325">
        <f t="shared" si="12"/>
        <v>0</v>
      </c>
      <c r="O316" s="325"/>
      <c r="P316" s="363"/>
      <c r="Q316" s="363"/>
      <c r="R316" s="364"/>
    </row>
    <row r="317" ht="16.5" hidden="1" customHeight="1" spans="1:18">
      <c r="A317" s="347" t="s">
        <v>328</v>
      </c>
      <c r="B317" s="348"/>
      <c r="C317" s="348"/>
      <c r="D317" s="349"/>
      <c r="E317" s="348"/>
      <c r="F317" s="345"/>
      <c r="G317" s="346"/>
      <c r="H317" s="348"/>
      <c r="I317" s="345"/>
      <c r="J317" s="349"/>
      <c r="K317" s="325"/>
      <c r="L317" s="325">
        <f t="shared" si="12"/>
        <v>0</v>
      </c>
      <c r="O317" s="325"/>
      <c r="P317" s="363"/>
      <c r="Q317" s="363"/>
      <c r="R317" s="364"/>
    </row>
    <row r="318" ht="16.5" hidden="1" customHeight="1" spans="1:18">
      <c r="A318" s="347" t="s">
        <v>329</v>
      </c>
      <c r="B318" s="348"/>
      <c r="C318" s="348"/>
      <c r="D318" s="349"/>
      <c r="E318" s="348"/>
      <c r="F318" s="345"/>
      <c r="G318" s="346"/>
      <c r="H318" s="348"/>
      <c r="I318" s="345"/>
      <c r="J318" s="349"/>
      <c r="K318" s="325"/>
      <c r="L318" s="325">
        <f t="shared" si="12"/>
        <v>0</v>
      </c>
      <c r="O318" s="325"/>
      <c r="P318" s="363"/>
      <c r="Q318" s="363"/>
      <c r="R318" s="364"/>
    </row>
    <row r="319" ht="16.5" hidden="1" customHeight="1" spans="1:18">
      <c r="A319" s="347" t="s">
        <v>164</v>
      </c>
      <c r="B319" s="348"/>
      <c r="C319" s="348"/>
      <c r="D319" s="349"/>
      <c r="E319" s="348"/>
      <c r="F319" s="345"/>
      <c r="G319" s="346"/>
      <c r="H319" s="348"/>
      <c r="I319" s="345"/>
      <c r="J319" s="349"/>
      <c r="K319" s="325"/>
      <c r="L319" s="325">
        <f t="shared" si="12"/>
        <v>0</v>
      </c>
      <c r="O319" s="325"/>
      <c r="P319" s="363"/>
      <c r="Q319" s="363"/>
      <c r="R319" s="364"/>
    </row>
    <row r="320" ht="16.5" hidden="1" customHeight="1" spans="1:18">
      <c r="A320" s="347" t="s">
        <v>330</v>
      </c>
      <c r="B320" s="348"/>
      <c r="C320" s="348"/>
      <c r="D320" s="349"/>
      <c r="E320" s="348"/>
      <c r="F320" s="345"/>
      <c r="G320" s="346"/>
      <c r="H320" s="348"/>
      <c r="I320" s="345"/>
      <c r="J320" s="349"/>
      <c r="K320" s="325"/>
      <c r="L320" s="325">
        <f t="shared" si="12"/>
        <v>0</v>
      </c>
      <c r="O320" s="325"/>
      <c r="P320" s="363"/>
      <c r="Q320" s="363"/>
      <c r="R320" s="364"/>
    </row>
    <row r="321" s="326" customFormat="1" ht="16.5" hidden="1" customHeight="1" spans="1:18">
      <c r="A321" s="347" t="s">
        <v>331</v>
      </c>
      <c r="B321" s="348"/>
      <c r="C321" s="348"/>
      <c r="D321" s="349"/>
      <c r="E321" s="348"/>
      <c r="F321" s="345">
        <f>C321-E321</f>
        <v>0</v>
      </c>
      <c r="G321" s="346"/>
      <c r="H321" s="348"/>
      <c r="I321" s="345">
        <f>H321-B321</f>
        <v>0</v>
      </c>
      <c r="J321" s="349"/>
      <c r="K321" s="325"/>
      <c r="L321" s="325">
        <f t="shared" si="12"/>
        <v>0</v>
      </c>
      <c r="O321" s="325"/>
      <c r="P321" s="363"/>
      <c r="Q321" s="363"/>
      <c r="R321" s="364"/>
    </row>
    <row r="322" ht="16.5" hidden="1" customHeight="1" spans="1:18">
      <c r="A322" s="347" t="s">
        <v>155</v>
      </c>
      <c r="B322" s="348"/>
      <c r="C322" s="348"/>
      <c r="D322" s="349"/>
      <c r="E322" s="348"/>
      <c r="F322" s="345"/>
      <c r="G322" s="346"/>
      <c r="H322" s="348"/>
      <c r="I322" s="345"/>
      <c r="J322" s="349"/>
      <c r="K322" s="325"/>
      <c r="L322" s="325">
        <f t="shared" si="12"/>
        <v>0</v>
      </c>
      <c r="O322" s="325"/>
      <c r="P322" s="363"/>
      <c r="Q322" s="363"/>
      <c r="R322" s="364"/>
    </row>
    <row r="323" ht="16.5" hidden="1" customHeight="1" spans="1:18">
      <c r="A323" s="347" t="s">
        <v>156</v>
      </c>
      <c r="B323" s="348"/>
      <c r="C323" s="348"/>
      <c r="D323" s="349"/>
      <c r="E323" s="348"/>
      <c r="F323" s="345"/>
      <c r="G323" s="346"/>
      <c r="H323" s="348"/>
      <c r="I323" s="345"/>
      <c r="J323" s="349"/>
      <c r="K323" s="325"/>
      <c r="L323" s="325">
        <f t="shared" si="12"/>
        <v>0</v>
      </c>
      <c r="O323" s="325"/>
      <c r="P323" s="363"/>
      <c r="Q323" s="363"/>
      <c r="R323" s="364"/>
    </row>
    <row r="324" ht="16.5" hidden="1" customHeight="1" spans="1:18">
      <c r="A324" s="347" t="s">
        <v>195</v>
      </c>
      <c r="B324" s="348"/>
      <c r="C324" s="348"/>
      <c r="D324" s="349"/>
      <c r="E324" s="348"/>
      <c r="F324" s="345"/>
      <c r="G324" s="346"/>
      <c r="H324" s="348"/>
      <c r="I324" s="345"/>
      <c r="J324" s="349"/>
      <c r="K324" s="325"/>
      <c r="L324" s="325">
        <f t="shared" si="12"/>
        <v>0</v>
      </c>
      <c r="O324" s="325"/>
      <c r="P324" s="363"/>
      <c r="Q324" s="363"/>
      <c r="R324" s="364"/>
    </row>
    <row r="325" ht="16.5" hidden="1" customHeight="1" spans="1:18">
      <c r="A325" s="347" t="s">
        <v>332</v>
      </c>
      <c r="B325" s="348"/>
      <c r="C325" s="348"/>
      <c r="D325" s="349"/>
      <c r="E325" s="348"/>
      <c r="F325" s="345"/>
      <c r="G325" s="346"/>
      <c r="H325" s="348"/>
      <c r="I325" s="345"/>
      <c r="J325" s="349"/>
      <c r="K325" s="325"/>
      <c r="L325" s="325">
        <f t="shared" si="12"/>
        <v>0</v>
      </c>
      <c r="O325" s="325"/>
      <c r="P325" s="363"/>
      <c r="Q325" s="363"/>
      <c r="R325" s="364"/>
    </row>
    <row r="326" ht="16.5" hidden="1" customHeight="1" spans="1:18">
      <c r="A326" s="347" t="s">
        <v>333</v>
      </c>
      <c r="B326" s="348"/>
      <c r="C326" s="348"/>
      <c r="D326" s="349"/>
      <c r="E326" s="348"/>
      <c r="F326" s="345"/>
      <c r="G326" s="346"/>
      <c r="H326" s="348"/>
      <c r="I326" s="345"/>
      <c r="J326" s="349"/>
      <c r="K326" s="325"/>
      <c r="L326" s="325">
        <f t="shared" si="12"/>
        <v>0</v>
      </c>
      <c r="O326" s="325"/>
      <c r="P326" s="363"/>
      <c r="Q326" s="363"/>
      <c r="R326" s="364"/>
    </row>
    <row r="327" s="326" customFormat="1" ht="16.5" customHeight="1" spans="1:18">
      <c r="A327" s="347" t="s">
        <v>334</v>
      </c>
      <c r="B327" s="348">
        <v>643</v>
      </c>
      <c r="C327" s="348">
        <v>937</v>
      </c>
      <c r="D327" s="349">
        <f t="shared" ref="D327:D329" si="13">C327/B327*100</f>
        <v>145.723172628305</v>
      </c>
      <c r="E327" s="348">
        <v>925</v>
      </c>
      <c r="F327" s="345">
        <f t="shared" ref="F327:F329" si="14">C327-E327</f>
        <v>12</v>
      </c>
      <c r="G327" s="346">
        <f t="shared" ref="G327:G329" si="15">F327/E327*100</f>
        <v>1.2972972972973</v>
      </c>
      <c r="H327" s="348">
        <v>644</v>
      </c>
      <c r="I327" s="345">
        <f t="shared" ref="I327:I329" si="16">H327-B327</f>
        <v>1</v>
      </c>
      <c r="J327" s="349">
        <f t="shared" ref="J327:J329" si="17">I327/B327*100</f>
        <v>0.15552099533437</v>
      </c>
      <c r="K327" s="325"/>
      <c r="L327" s="325">
        <f t="shared" si="12"/>
        <v>1581</v>
      </c>
      <c r="O327" s="325"/>
      <c r="P327" s="363"/>
      <c r="Q327" s="363"/>
      <c r="R327" s="364"/>
    </row>
    <row r="328" s="325" customFormat="1" ht="16.5" customHeight="1" spans="1:18">
      <c r="A328" s="344" t="s">
        <v>335</v>
      </c>
      <c r="B328" s="345">
        <f>B329+B334+B341+B347+B353+B357+B358+B362+B368+B375</f>
        <v>106562</v>
      </c>
      <c r="C328" s="345">
        <f>C329+C334+C341+C347+C353+C357+C358+C362+C368+C375</f>
        <v>113839</v>
      </c>
      <c r="D328" s="349">
        <f t="shared" si="13"/>
        <v>106.82888834669</v>
      </c>
      <c r="E328" s="345">
        <f>E329+E334+E341+E347+E353+E357+E358+E362+E368+E375</f>
        <v>94480</v>
      </c>
      <c r="F328" s="345">
        <f t="shared" si="14"/>
        <v>19359</v>
      </c>
      <c r="G328" s="346">
        <f t="shared" si="15"/>
        <v>20.490050804403</v>
      </c>
      <c r="H328" s="345">
        <f>H329+H334+H341+H347+H353+H357+H358+H362+H368+H375</f>
        <v>119091.121991</v>
      </c>
      <c r="I328" s="345">
        <f t="shared" si="16"/>
        <v>12529.121991</v>
      </c>
      <c r="J328" s="349">
        <f t="shared" si="17"/>
        <v>11.7575890007695</v>
      </c>
      <c r="L328" s="325">
        <f t="shared" ref="L328:L391" si="18">C328+H328</f>
        <v>232930.121991</v>
      </c>
      <c r="P328" s="362"/>
      <c r="Q328" s="362"/>
      <c r="R328" s="364"/>
    </row>
    <row r="329" s="326" customFormat="1" ht="16.5" customHeight="1" spans="1:18">
      <c r="A329" s="347" t="s">
        <v>336</v>
      </c>
      <c r="B329" s="348">
        <v>3420</v>
      </c>
      <c r="C329" s="348">
        <v>492</v>
      </c>
      <c r="D329" s="349">
        <f t="shared" si="13"/>
        <v>14.3859649122807</v>
      </c>
      <c r="E329" s="348">
        <v>2138</v>
      </c>
      <c r="F329" s="345">
        <f t="shared" si="14"/>
        <v>-1646</v>
      </c>
      <c r="G329" s="346">
        <f t="shared" si="15"/>
        <v>-76.9878391019645</v>
      </c>
      <c r="H329" s="348">
        <f>SUM(H330:H333)</f>
        <v>6689.031941</v>
      </c>
      <c r="I329" s="345">
        <f t="shared" si="16"/>
        <v>3269.031941</v>
      </c>
      <c r="J329" s="349">
        <f t="shared" si="17"/>
        <v>95.5857292690059</v>
      </c>
      <c r="K329" s="325"/>
      <c r="L329" s="325">
        <f t="shared" si="18"/>
        <v>7181.031941</v>
      </c>
      <c r="O329" s="325"/>
      <c r="P329" s="363"/>
      <c r="Q329" s="363"/>
      <c r="R329" s="364"/>
    </row>
    <row r="330" ht="16.5" customHeight="1" spans="1:18">
      <c r="A330" s="347" t="s">
        <v>155</v>
      </c>
      <c r="B330" s="348"/>
      <c r="C330" s="348"/>
      <c r="D330" s="349"/>
      <c r="E330" s="348"/>
      <c r="F330" s="345"/>
      <c r="G330" s="346"/>
      <c r="H330" s="348">
        <v>425.571941</v>
      </c>
      <c r="I330" s="345"/>
      <c r="J330" s="349"/>
      <c r="K330" s="325"/>
      <c r="L330" s="325">
        <f t="shared" si="18"/>
        <v>425.571941</v>
      </c>
      <c r="O330" s="325"/>
      <c r="P330" s="363"/>
      <c r="Q330" s="363"/>
      <c r="R330" s="364"/>
    </row>
    <row r="331" ht="16.5" customHeight="1" spans="1:18">
      <c r="A331" s="347" t="s">
        <v>156</v>
      </c>
      <c r="B331" s="348"/>
      <c r="C331" s="348"/>
      <c r="D331" s="349"/>
      <c r="E331" s="348"/>
      <c r="F331" s="345"/>
      <c r="G331" s="346"/>
      <c r="H331" s="348">
        <v>4689.46</v>
      </c>
      <c r="I331" s="345"/>
      <c r="J331" s="349"/>
      <c r="K331" s="325"/>
      <c r="L331" s="325">
        <f t="shared" si="18"/>
        <v>4689.46</v>
      </c>
      <c r="O331" s="325"/>
      <c r="P331" s="363"/>
      <c r="Q331" s="363"/>
      <c r="R331" s="364"/>
    </row>
    <row r="332" ht="16.5" hidden="1" customHeight="1" spans="1:18">
      <c r="A332" s="347" t="s">
        <v>157</v>
      </c>
      <c r="B332" s="348"/>
      <c r="C332" s="348"/>
      <c r="D332" s="349"/>
      <c r="E332" s="348"/>
      <c r="F332" s="345"/>
      <c r="G332" s="346"/>
      <c r="H332" s="348">
        <v>0</v>
      </c>
      <c r="I332" s="345"/>
      <c r="J332" s="349"/>
      <c r="K332" s="325"/>
      <c r="L332" s="325">
        <f t="shared" si="18"/>
        <v>0</v>
      </c>
      <c r="O332" s="325"/>
      <c r="P332" s="363"/>
      <c r="Q332" s="363"/>
      <c r="R332" s="364"/>
    </row>
    <row r="333" ht="16.5" customHeight="1" spans="1:18">
      <c r="A333" s="347" t="s">
        <v>337</v>
      </c>
      <c r="B333" s="348"/>
      <c r="C333" s="348"/>
      <c r="D333" s="349"/>
      <c r="E333" s="348"/>
      <c r="F333" s="345"/>
      <c r="G333" s="346"/>
      <c r="H333" s="348">
        <v>1574</v>
      </c>
      <c r="I333" s="345"/>
      <c r="J333" s="349"/>
      <c r="K333" s="325"/>
      <c r="L333" s="325">
        <f t="shared" si="18"/>
        <v>1574</v>
      </c>
      <c r="O333" s="325"/>
      <c r="P333" s="363"/>
      <c r="Q333" s="363"/>
      <c r="R333" s="364"/>
    </row>
    <row r="334" s="326" customFormat="1" ht="16.5" customHeight="1" spans="1:18">
      <c r="A334" s="347" t="s">
        <v>338</v>
      </c>
      <c r="B334" s="348">
        <v>61126</v>
      </c>
      <c r="C334" s="348">
        <v>83752</v>
      </c>
      <c r="D334" s="349">
        <f>C334/B334*100</f>
        <v>137.015345352223</v>
      </c>
      <c r="E334" s="348">
        <v>68920</v>
      </c>
      <c r="F334" s="345">
        <f>C334-E334</f>
        <v>14832</v>
      </c>
      <c r="G334" s="346">
        <f>F334/E334*100</f>
        <v>21.5206035983749</v>
      </c>
      <c r="H334" s="348">
        <f>SUM(H335:H340)</f>
        <v>79163.829344</v>
      </c>
      <c r="I334" s="345">
        <f>H334-B334</f>
        <v>18037.829344</v>
      </c>
      <c r="J334" s="349">
        <f>I334/B334*100</f>
        <v>29.5092584890227</v>
      </c>
      <c r="K334" s="325"/>
      <c r="L334" s="325">
        <f t="shared" si="18"/>
        <v>162915.829344</v>
      </c>
      <c r="O334" s="325"/>
      <c r="P334" s="363"/>
      <c r="Q334" s="363"/>
      <c r="R334" s="364"/>
    </row>
    <row r="335" ht="16.5" customHeight="1" spans="1:18">
      <c r="A335" s="347" t="s">
        <v>339</v>
      </c>
      <c r="B335" s="348"/>
      <c r="C335" s="348"/>
      <c r="D335" s="349"/>
      <c r="E335" s="348"/>
      <c r="F335" s="345"/>
      <c r="G335" s="346"/>
      <c r="H335" s="348">
        <v>3864.049742</v>
      </c>
      <c r="I335" s="345"/>
      <c r="J335" s="349"/>
      <c r="K335" s="325"/>
      <c r="L335" s="325">
        <f t="shared" si="18"/>
        <v>3864.049742</v>
      </c>
      <c r="O335" s="325"/>
      <c r="P335" s="363"/>
      <c r="Q335" s="363"/>
      <c r="R335" s="364"/>
    </row>
    <row r="336" ht="16.5" customHeight="1" spans="1:18">
      <c r="A336" s="347" t="s">
        <v>340</v>
      </c>
      <c r="B336" s="348"/>
      <c r="C336" s="348"/>
      <c r="D336" s="349"/>
      <c r="E336" s="348"/>
      <c r="F336" s="345"/>
      <c r="G336" s="346"/>
      <c r="H336" s="348">
        <v>13811.8</v>
      </c>
      <c r="I336" s="345"/>
      <c r="J336" s="349"/>
      <c r="K336" s="325"/>
      <c r="L336" s="325">
        <f t="shared" si="18"/>
        <v>13811.8</v>
      </c>
      <c r="O336" s="325"/>
      <c r="P336" s="363"/>
      <c r="Q336" s="363"/>
      <c r="R336" s="364"/>
    </row>
    <row r="337" ht="16.5" customHeight="1" spans="1:18">
      <c r="A337" s="347" t="s">
        <v>341</v>
      </c>
      <c r="B337" s="348"/>
      <c r="C337" s="348"/>
      <c r="D337" s="349"/>
      <c r="E337" s="348"/>
      <c r="F337" s="345"/>
      <c r="G337" s="346"/>
      <c r="H337" s="348">
        <v>12614.796335</v>
      </c>
      <c r="I337" s="345"/>
      <c r="J337" s="349"/>
      <c r="K337" s="325"/>
      <c r="L337" s="325">
        <f t="shared" si="18"/>
        <v>12614.796335</v>
      </c>
      <c r="O337" s="325"/>
      <c r="P337" s="363"/>
      <c r="Q337" s="363"/>
      <c r="R337" s="364"/>
    </row>
    <row r="338" ht="16.5" customHeight="1" spans="1:18">
      <c r="A338" s="347" t="s">
        <v>342</v>
      </c>
      <c r="B338" s="348"/>
      <c r="C338" s="348"/>
      <c r="D338" s="349"/>
      <c r="E338" s="348"/>
      <c r="F338" s="345"/>
      <c r="G338" s="346"/>
      <c r="H338" s="348">
        <v>44586.404666</v>
      </c>
      <c r="I338" s="345"/>
      <c r="J338" s="349"/>
      <c r="K338" s="325"/>
      <c r="L338" s="325">
        <f t="shared" si="18"/>
        <v>44586.404666</v>
      </c>
      <c r="O338" s="325"/>
      <c r="P338" s="363"/>
      <c r="Q338" s="363"/>
      <c r="R338" s="364"/>
    </row>
    <row r="339" ht="16.5" customHeight="1" spans="1:18">
      <c r="A339" s="347" t="s">
        <v>343</v>
      </c>
      <c r="B339" s="348"/>
      <c r="C339" s="348"/>
      <c r="D339" s="349"/>
      <c r="E339" s="348"/>
      <c r="F339" s="345"/>
      <c r="G339" s="346"/>
      <c r="H339" s="348">
        <v>72.85</v>
      </c>
      <c r="I339" s="345"/>
      <c r="J339" s="349"/>
      <c r="K339" s="325"/>
      <c r="L339" s="325">
        <f t="shared" si="18"/>
        <v>72.85</v>
      </c>
      <c r="O339" s="325"/>
      <c r="P339" s="363"/>
      <c r="Q339" s="363"/>
      <c r="R339" s="364"/>
    </row>
    <row r="340" ht="16.5" customHeight="1" spans="1:18">
      <c r="A340" s="347" t="s">
        <v>344</v>
      </c>
      <c r="B340" s="348"/>
      <c r="C340" s="348"/>
      <c r="D340" s="349"/>
      <c r="E340" s="348"/>
      <c r="F340" s="345"/>
      <c r="G340" s="346"/>
      <c r="H340" s="348">
        <v>4213.928601</v>
      </c>
      <c r="I340" s="345"/>
      <c r="J340" s="349"/>
      <c r="K340" s="325"/>
      <c r="L340" s="325">
        <f t="shared" si="18"/>
        <v>4213.928601</v>
      </c>
      <c r="O340" s="325"/>
      <c r="P340" s="363"/>
      <c r="Q340" s="363"/>
      <c r="R340" s="364"/>
    </row>
    <row r="341" s="326" customFormat="1" ht="16.5" customHeight="1" spans="1:18">
      <c r="A341" s="347" t="s">
        <v>345</v>
      </c>
      <c r="B341" s="348">
        <v>21651</v>
      </c>
      <c r="C341" s="348">
        <v>20696</v>
      </c>
      <c r="D341" s="349">
        <f>C341/B341*100</f>
        <v>95.5891182855295</v>
      </c>
      <c r="E341" s="348">
        <v>16175</v>
      </c>
      <c r="F341" s="345">
        <f>C341-E341</f>
        <v>4521</v>
      </c>
      <c r="G341" s="346">
        <f>F341/E341*100</f>
        <v>27.9505409582689</v>
      </c>
      <c r="H341" s="348">
        <f>SUM(H342:H346)</f>
        <v>26607.806893</v>
      </c>
      <c r="I341" s="345">
        <f>H341-B341</f>
        <v>4956.806893</v>
      </c>
      <c r="J341" s="349">
        <f>I341/B341*100</f>
        <v>22.8941244884763</v>
      </c>
      <c r="K341" s="325"/>
      <c r="L341" s="325">
        <f t="shared" si="18"/>
        <v>47303.806893</v>
      </c>
      <c r="O341" s="325"/>
      <c r="P341" s="363"/>
      <c r="Q341" s="363"/>
      <c r="R341" s="364"/>
    </row>
    <row r="342" ht="16.5" hidden="1" customHeight="1" spans="1:18">
      <c r="A342" s="347" t="s">
        <v>346</v>
      </c>
      <c r="B342" s="348"/>
      <c r="C342" s="348"/>
      <c r="D342" s="349"/>
      <c r="E342" s="348"/>
      <c r="F342" s="345"/>
      <c r="G342" s="346"/>
      <c r="H342" s="348">
        <v>0</v>
      </c>
      <c r="I342" s="345"/>
      <c r="J342" s="349"/>
      <c r="K342" s="325"/>
      <c r="L342" s="325">
        <f t="shared" si="18"/>
        <v>0</v>
      </c>
      <c r="O342" s="325"/>
      <c r="P342" s="363"/>
      <c r="Q342" s="363"/>
      <c r="R342" s="364"/>
    </row>
    <row r="343" ht="16.5" customHeight="1" spans="1:18">
      <c r="A343" s="347" t="s">
        <v>347</v>
      </c>
      <c r="B343" s="348"/>
      <c r="C343" s="348"/>
      <c r="D343" s="349"/>
      <c r="E343" s="348"/>
      <c r="F343" s="345"/>
      <c r="G343" s="346"/>
      <c r="H343" s="348">
        <v>11184.575833</v>
      </c>
      <c r="I343" s="345"/>
      <c r="J343" s="349"/>
      <c r="K343" s="325"/>
      <c r="L343" s="325">
        <f t="shared" si="18"/>
        <v>11184.575833</v>
      </c>
      <c r="O343" s="325"/>
      <c r="P343" s="363"/>
      <c r="Q343" s="363"/>
      <c r="R343" s="364"/>
    </row>
    <row r="344" ht="16.5" customHeight="1" spans="1:18">
      <c r="A344" s="347" t="s">
        <v>348</v>
      </c>
      <c r="B344" s="348"/>
      <c r="C344" s="348"/>
      <c r="D344" s="349"/>
      <c r="E344" s="348"/>
      <c r="F344" s="345"/>
      <c r="G344" s="346"/>
      <c r="H344" s="348">
        <v>5007.12415</v>
      </c>
      <c r="I344" s="345"/>
      <c r="J344" s="349"/>
      <c r="K344" s="325"/>
      <c r="L344" s="325">
        <f t="shared" si="18"/>
        <v>5007.12415</v>
      </c>
      <c r="O344" s="325"/>
      <c r="P344" s="363"/>
      <c r="Q344" s="363"/>
      <c r="R344" s="364"/>
    </row>
    <row r="345" ht="16.5" customHeight="1" spans="1:18">
      <c r="A345" s="347" t="s">
        <v>349</v>
      </c>
      <c r="B345" s="348"/>
      <c r="C345" s="348"/>
      <c r="D345" s="349"/>
      <c r="E345" s="348"/>
      <c r="F345" s="345"/>
      <c r="G345" s="346"/>
      <c r="H345" s="348">
        <v>10416.10691</v>
      </c>
      <c r="I345" s="345"/>
      <c r="J345" s="349"/>
      <c r="K345" s="325"/>
      <c r="L345" s="325">
        <f t="shared" si="18"/>
        <v>10416.10691</v>
      </c>
      <c r="O345" s="325"/>
      <c r="P345" s="363"/>
      <c r="Q345" s="363"/>
      <c r="R345" s="364"/>
    </row>
    <row r="346" ht="16.5" hidden="1" customHeight="1" spans="1:18">
      <c r="A346" s="347" t="s">
        <v>350</v>
      </c>
      <c r="B346" s="348"/>
      <c r="C346" s="348"/>
      <c r="D346" s="349"/>
      <c r="E346" s="348"/>
      <c r="F346" s="345"/>
      <c r="G346" s="346"/>
      <c r="H346" s="348">
        <v>0</v>
      </c>
      <c r="I346" s="345"/>
      <c r="J346" s="349"/>
      <c r="K346" s="325"/>
      <c r="L346" s="325">
        <f t="shared" si="18"/>
        <v>0</v>
      </c>
      <c r="O346" s="325"/>
      <c r="P346" s="363"/>
      <c r="Q346" s="363"/>
      <c r="R346" s="364"/>
    </row>
    <row r="347" s="326" customFormat="1" ht="16.5" hidden="1" customHeight="1" spans="1:18">
      <c r="A347" s="347" t="s">
        <v>351</v>
      </c>
      <c r="B347" s="348"/>
      <c r="C347" s="348"/>
      <c r="D347" s="349"/>
      <c r="E347" s="348"/>
      <c r="F347" s="345"/>
      <c r="G347" s="346"/>
      <c r="H347" s="348"/>
      <c r="I347" s="345"/>
      <c r="J347" s="349"/>
      <c r="K347" s="325"/>
      <c r="L347" s="325">
        <f t="shared" si="18"/>
        <v>0</v>
      </c>
      <c r="O347" s="325"/>
      <c r="P347" s="363"/>
      <c r="Q347" s="363"/>
      <c r="R347" s="364"/>
    </row>
    <row r="348" s="326" customFormat="1" ht="16.5" hidden="1" customHeight="1" spans="1:18">
      <c r="A348" s="347" t="s">
        <v>352</v>
      </c>
      <c r="B348" s="348"/>
      <c r="C348" s="348"/>
      <c r="D348" s="349"/>
      <c r="E348" s="348"/>
      <c r="F348" s="345"/>
      <c r="G348" s="346"/>
      <c r="H348" s="348"/>
      <c r="I348" s="345"/>
      <c r="J348" s="349"/>
      <c r="K348" s="325"/>
      <c r="L348" s="325">
        <f t="shared" si="18"/>
        <v>0</v>
      </c>
      <c r="O348" s="325"/>
      <c r="P348" s="363"/>
      <c r="Q348" s="363"/>
      <c r="R348" s="364"/>
    </row>
    <row r="349" s="326" customFormat="1" ht="16.5" hidden="1" customHeight="1" spans="1:18">
      <c r="A349" s="347" t="s">
        <v>353</v>
      </c>
      <c r="B349" s="348"/>
      <c r="C349" s="348"/>
      <c r="D349" s="349"/>
      <c r="E349" s="348"/>
      <c r="F349" s="345"/>
      <c r="G349" s="346"/>
      <c r="H349" s="348"/>
      <c r="I349" s="345"/>
      <c r="J349" s="349"/>
      <c r="K349" s="325"/>
      <c r="L349" s="325">
        <f t="shared" si="18"/>
        <v>0</v>
      </c>
      <c r="O349" s="325"/>
      <c r="P349" s="363"/>
      <c r="Q349" s="363"/>
      <c r="R349" s="364"/>
    </row>
    <row r="350" s="326" customFormat="1" ht="16.5" hidden="1" customHeight="1" spans="1:18">
      <c r="A350" s="347" t="s">
        <v>354</v>
      </c>
      <c r="B350" s="348"/>
      <c r="C350" s="348"/>
      <c r="D350" s="349"/>
      <c r="E350" s="348"/>
      <c r="F350" s="345"/>
      <c r="G350" s="346"/>
      <c r="H350" s="348"/>
      <c r="I350" s="345"/>
      <c r="J350" s="349"/>
      <c r="K350" s="325"/>
      <c r="L350" s="325">
        <f t="shared" si="18"/>
        <v>0</v>
      </c>
      <c r="O350" s="325"/>
      <c r="P350" s="363"/>
      <c r="Q350" s="363"/>
      <c r="R350" s="364"/>
    </row>
    <row r="351" s="326" customFormat="1" ht="16.5" hidden="1" customHeight="1" spans="1:18">
      <c r="A351" s="347" t="s">
        <v>355</v>
      </c>
      <c r="B351" s="348"/>
      <c r="C351" s="348"/>
      <c r="D351" s="349"/>
      <c r="E351" s="348"/>
      <c r="F351" s="345"/>
      <c r="G351" s="346"/>
      <c r="H351" s="348"/>
      <c r="I351" s="345"/>
      <c r="J351" s="349"/>
      <c r="K351" s="325"/>
      <c r="L351" s="325">
        <f t="shared" si="18"/>
        <v>0</v>
      </c>
      <c r="O351" s="325"/>
      <c r="P351" s="363"/>
      <c r="Q351" s="363"/>
      <c r="R351" s="364"/>
    </row>
    <row r="352" s="326" customFormat="1" ht="16.5" hidden="1" customHeight="1" spans="1:18">
      <c r="A352" s="347" t="s">
        <v>356</v>
      </c>
      <c r="B352" s="348"/>
      <c r="C352" s="348"/>
      <c r="D352" s="349"/>
      <c r="E352" s="348"/>
      <c r="F352" s="345"/>
      <c r="G352" s="346"/>
      <c r="H352" s="348"/>
      <c r="I352" s="345"/>
      <c r="J352" s="349"/>
      <c r="K352" s="325"/>
      <c r="L352" s="325">
        <f t="shared" si="18"/>
        <v>0</v>
      </c>
      <c r="O352" s="325"/>
      <c r="P352" s="363"/>
      <c r="Q352" s="363"/>
      <c r="R352" s="364"/>
    </row>
    <row r="353" s="326" customFormat="1" ht="16.5" hidden="1" customHeight="1" spans="1:18">
      <c r="A353" s="347" t="s">
        <v>357</v>
      </c>
      <c r="B353" s="348"/>
      <c r="C353" s="348"/>
      <c r="D353" s="349"/>
      <c r="E353" s="348"/>
      <c r="F353" s="345">
        <f t="shared" ref="F353:F358" si="19">C353-E353</f>
        <v>0</v>
      </c>
      <c r="G353" s="346"/>
      <c r="H353" s="348"/>
      <c r="I353" s="345">
        <f t="shared" ref="I353:I358" si="20">H353-B353</f>
        <v>0</v>
      </c>
      <c r="J353" s="349"/>
      <c r="K353" s="325"/>
      <c r="L353" s="325">
        <f t="shared" si="18"/>
        <v>0</v>
      </c>
      <c r="O353" s="325"/>
      <c r="P353" s="363"/>
      <c r="Q353" s="363"/>
      <c r="R353" s="364"/>
    </row>
    <row r="354" ht="16.5" hidden="1" customHeight="1" spans="1:18">
      <c r="A354" s="347" t="s">
        <v>358</v>
      </c>
      <c r="B354" s="348"/>
      <c r="C354" s="348"/>
      <c r="D354" s="349"/>
      <c r="E354" s="348"/>
      <c r="F354" s="345"/>
      <c r="G354" s="346"/>
      <c r="H354" s="348"/>
      <c r="I354" s="345"/>
      <c r="J354" s="349"/>
      <c r="K354" s="325"/>
      <c r="L354" s="325">
        <f t="shared" si="18"/>
        <v>0</v>
      </c>
      <c r="O354" s="325"/>
      <c r="P354" s="363"/>
      <c r="Q354" s="363"/>
      <c r="R354" s="364"/>
    </row>
    <row r="355" ht="16.5" hidden="1" customHeight="1" spans="1:18">
      <c r="A355" s="347" t="s">
        <v>359</v>
      </c>
      <c r="B355" s="348"/>
      <c r="C355" s="348"/>
      <c r="D355" s="349"/>
      <c r="E355" s="348"/>
      <c r="F355" s="345"/>
      <c r="G355" s="346"/>
      <c r="H355" s="348"/>
      <c r="I355" s="345"/>
      <c r="J355" s="349"/>
      <c r="K355" s="325"/>
      <c r="L355" s="325">
        <f t="shared" si="18"/>
        <v>0</v>
      </c>
      <c r="O355" s="325"/>
      <c r="P355" s="363"/>
      <c r="Q355" s="363"/>
      <c r="R355" s="364"/>
    </row>
    <row r="356" ht="16.5" hidden="1" customHeight="1" spans="1:18">
      <c r="A356" s="347" t="s">
        <v>360</v>
      </c>
      <c r="B356" s="348"/>
      <c r="C356" s="348"/>
      <c r="D356" s="349"/>
      <c r="E356" s="348"/>
      <c r="F356" s="345"/>
      <c r="G356" s="346"/>
      <c r="H356" s="348"/>
      <c r="I356" s="345"/>
      <c r="J356" s="349"/>
      <c r="K356" s="325"/>
      <c r="L356" s="325">
        <f t="shared" si="18"/>
        <v>0</v>
      </c>
      <c r="O356" s="325"/>
      <c r="P356" s="363"/>
      <c r="Q356" s="363"/>
      <c r="R356" s="364"/>
    </row>
    <row r="357" s="326" customFormat="1" ht="16.5" hidden="1" customHeight="1" spans="1:18">
      <c r="A357" s="347" t="s">
        <v>361</v>
      </c>
      <c r="B357" s="348"/>
      <c r="C357" s="348"/>
      <c r="D357" s="349"/>
      <c r="E357" s="348"/>
      <c r="F357" s="345">
        <f t="shared" si="19"/>
        <v>0</v>
      </c>
      <c r="G357" s="346"/>
      <c r="H357" s="348"/>
      <c r="I357" s="345">
        <f t="shared" si="20"/>
        <v>0</v>
      </c>
      <c r="J357" s="349"/>
      <c r="K357" s="325"/>
      <c r="L357" s="325">
        <f t="shared" si="18"/>
        <v>0</v>
      </c>
      <c r="O357" s="325"/>
      <c r="P357" s="363"/>
      <c r="Q357" s="363"/>
      <c r="R357" s="364"/>
    </row>
    <row r="358" s="326" customFormat="1" ht="16.5" customHeight="1" spans="1:18">
      <c r="A358" s="347" t="s">
        <v>362</v>
      </c>
      <c r="B358" s="348">
        <v>1692</v>
      </c>
      <c r="C358" s="348">
        <v>2018</v>
      </c>
      <c r="D358" s="349">
        <f>C358/B358*100</f>
        <v>119.267139479905</v>
      </c>
      <c r="E358" s="348">
        <v>2093</v>
      </c>
      <c r="F358" s="345">
        <f t="shared" si="19"/>
        <v>-75</v>
      </c>
      <c r="G358" s="346">
        <f>F358/E358*100</f>
        <v>-3.58337314859054</v>
      </c>
      <c r="H358" s="348">
        <f>SUM(H359:H361)</f>
        <v>1820.781665</v>
      </c>
      <c r="I358" s="345">
        <f t="shared" si="20"/>
        <v>128.781665</v>
      </c>
      <c r="J358" s="349">
        <f>I358/B358*100</f>
        <v>7.61120951536643</v>
      </c>
      <c r="K358" s="325"/>
      <c r="L358" s="325">
        <f t="shared" si="18"/>
        <v>3838.781665</v>
      </c>
      <c r="O358" s="325"/>
      <c r="P358" s="363"/>
      <c r="Q358" s="363"/>
      <c r="R358" s="364"/>
    </row>
    <row r="359" ht="16.5" customHeight="1" spans="1:18">
      <c r="A359" s="347" t="s">
        <v>363</v>
      </c>
      <c r="B359" s="348"/>
      <c r="C359" s="348"/>
      <c r="D359" s="349"/>
      <c r="E359" s="348"/>
      <c r="F359" s="345"/>
      <c r="G359" s="346"/>
      <c r="H359" s="348">
        <v>1820.781665</v>
      </c>
      <c r="I359" s="345"/>
      <c r="J359" s="349"/>
      <c r="K359" s="325"/>
      <c r="L359" s="325">
        <f t="shared" si="18"/>
        <v>1820.781665</v>
      </c>
      <c r="O359" s="325"/>
      <c r="P359" s="363"/>
      <c r="Q359" s="363"/>
      <c r="R359" s="364"/>
    </row>
    <row r="360" ht="16.5" hidden="1" customHeight="1" spans="1:18">
      <c r="A360" s="347" t="s">
        <v>364</v>
      </c>
      <c r="B360" s="348"/>
      <c r="C360" s="348"/>
      <c r="D360" s="349"/>
      <c r="E360" s="348"/>
      <c r="F360" s="345"/>
      <c r="G360" s="346"/>
      <c r="H360" s="348">
        <v>0</v>
      </c>
      <c r="I360" s="345"/>
      <c r="J360" s="349"/>
      <c r="K360" s="325"/>
      <c r="L360" s="325">
        <f t="shared" si="18"/>
        <v>0</v>
      </c>
      <c r="O360" s="325"/>
      <c r="P360" s="363"/>
      <c r="Q360" s="363"/>
      <c r="R360" s="364"/>
    </row>
    <row r="361" ht="16.5" hidden="1" customHeight="1" spans="1:18">
      <c r="A361" s="347" t="s">
        <v>365</v>
      </c>
      <c r="B361" s="348"/>
      <c r="C361" s="348"/>
      <c r="D361" s="349"/>
      <c r="E361" s="348"/>
      <c r="F361" s="345"/>
      <c r="G361" s="346"/>
      <c r="H361" s="348">
        <v>0</v>
      </c>
      <c r="I361" s="345"/>
      <c r="J361" s="349"/>
      <c r="K361" s="325"/>
      <c r="L361" s="325">
        <f t="shared" si="18"/>
        <v>0</v>
      </c>
      <c r="O361" s="325"/>
      <c r="P361" s="363"/>
      <c r="Q361" s="363"/>
      <c r="R361" s="364"/>
    </row>
    <row r="362" s="326" customFormat="1" ht="16.5" customHeight="1" spans="1:18">
      <c r="A362" s="347" t="s">
        <v>366</v>
      </c>
      <c r="B362" s="348">
        <v>6837</v>
      </c>
      <c r="C362" s="348">
        <v>769</v>
      </c>
      <c r="D362" s="349">
        <f>C362/B362*100</f>
        <v>11.2476232265614</v>
      </c>
      <c r="E362" s="348">
        <v>703</v>
      </c>
      <c r="F362" s="345">
        <f>C362-E362</f>
        <v>66</v>
      </c>
      <c r="G362" s="346">
        <f>F362/E362*100</f>
        <v>9.38833570412518</v>
      </c>
      <c r="H362" s="348">
        <f>SUM(H363:H367)</f>
        <v>819.80792</v>
      </c>
      <c r="I362" s="345">
        <f>H362-B362</f>
        <v>-6017.19208</v>
      </c>
      <c r="J362" s="349">
        <f>I362/B362*100</f>
        <v>-88.0092449904929</v>
      </c>
      <c r="K362" s="325"/>
      <c r="L362" s="325">
        <f t="shared" si="18"/>
        <v>1588.80792</v>
      </c>
      <c r="O362" s="325"/>
      <c r="P362" s="363"/>
      <c r="Q362" s="363"/>
      <c r="R362" s="364"/>
    </row>
    <row r="363" ht="16.5" customHeight="1" spans="1:18">
      <c r="A363" s="347" t="s">
        <v>367</v>
      </c>
      <c r="B363" s="348"/>
      <c r="C363" s="348"/>
      <c r="D363" s="349"/>
      <c r="E363" s="348"/>
      <c r="F363" s="345"/>
      <c r="G363" s="346"/>
      <c r="H363" s="348">
        <v>10</v>
      </c>
      <c r="I363" s="345"/>
      <c r="J363" s="349"/>
      <c r="K363" s="325"/>
      <c r="L363" s="325">
        <f t="shared" si="18"/>
        <v>10</v>
      </c>
      <c r="O363" s="325"/>
      <c r="P363" s="363"/>
      <c r="Q363" s="363"/>
      <c r="R363" s="364"/>
    </row>
    <row r="364" ht="16.5" customHeight="1" spans="1:18">
      <c r="A364" s="347" t="s">
        <v>368</v>
      </c>
      <c r="B364" s="348"/>
      <c r="C364" s="348"/>
      <c r="D364" s="349"/>
      <c r="E364" s="348"/>
      <c r="F364" s="345"/>
      <c r="G364" s="346"/>
      <c r="H364" s="348">
        <v>809.80792</v>
      </c>
      <c r="I364" s="345"/>
      <c r="J364" s="349"/>
      <c r="K364" s="325"/>
      <c r="L364" s="325">
        <f t="shared" si="18"/>
        <v>809.80792</v>
      </c>
      <c r="O364" s="325"/>
      <c r="P364" s="363"/>
      <c r="Q364" s="363"/>
      <c r="R364" s="364"/>
    </row>
    <row r="365" ht="16.5" hidden="1" customHeight="1" spans="1:18">
      <c r="A365" s="347" t="s">
        <v>369</v>
      </c>
      <c r="B365" s="348"/>
      <c r="C365" s="348"/>
      <c r="D365" s="349"/>
      <c r="E365" s="348"/>
      <c r="F365" s="345"/>
      <c r="G365" s="346"/>
      <c r="H365" s="348">
        <v>0</v>
      </c>
      <c r="I365" s="345"/>
      <c r="J365" s="349"/>
      <c r="K365" s="325"/>
      <c r="L365" s="325">
        <f t="shared" si="18"/>
        <v>0</v>
      </c>
      <c r="O365" s="325"/>
      <c r="P365" s="363"/>
      <c r="Q365" s="363"/>
      <c r="R365" s="364"/>
    </row>
    <row r="366" ht="16.5" hidden="1" customHeight="1" spans="1:18">
      <c r="A366" s="347" t="s">
        <v>370</v>
      </c>
      <c r="B366" s="348"/>
      <c r="C366" s="348"/>
      <c r="D366" s="349"/>
      <c r="E366" s="348"/>
      <c r="F366" s="345"/>
      <c r="G366" s="346"/>
      <c r="H366" s="348">
        <v>0</v>
      </c>
      <c r="I366" s="345"/>
      <c r="J366" s="349"/>
      <c r="K366" s="325"/>
      <c r="L366" s="325">
        <f t="shared" si="18"/>
        <v>0</v>
      </c>
      <c r="O366" s="325"/>
      <c r="P366" s="363"/>
      <c r="Q366" s="363"/>
      <c r="R366" s="364"/>
    </row>
    <row r="367" ht="16.5" hidden="1" customHeight="1" spans="1:18">
      <c r="A367" s="347" t="s">
        <v>371</v>
      </c>
      <c r="B367" s="348"/>
      <c r="C367" s="348"/>
      <c r="D367" s="349"/>
      <c r="E367" s="348"/>
      <c r="F367" s="345"/>
      <c r="G367" s="346"/>
      <c r="H367" s="348">
        <v>0</v>
      </c>
      <c r="I367" s="345"/>
      <c r="J367" s="349"/>
      <c r="K367" s="325"/>
      <c r="L367" s="325">
        <f t="shared" si="18"/>
        <v>0</v>
      </c>
      <c r="O367" s="325"/>
      <c r="P367" s="363"/>
      <c r="Q367" s="363"/>
      <c r="R367" s="364"/>
    </row>
    <row r="368" s="326" customFormat="1" ht="16.5" customHeight="1" spans="1:18">
      <c r="A368" s="347" t="s">
        <v>372</v>
      </c>
      <c r="B368" s="348">
        <v>6358</v>
      </c>
      <c r="C368" s="348">
        <v>2529</v>
      </c>
      <c r="D368" s="349">
        <f>C368/B368*100</f>
        <v>39.7766593268323</v>
      </c>
      <c r="E368" s="348">
        <v>754</v>
      </c>
      <c r="F368" s="345">
        <f>C368-E368</f>
        <v>1775</v>
      </c>
      <c r="G368" s="346">
        <f>F368/E368*100</f>
        <v>235.411140583554</v>
      </c>
      <c r="H368" s="348">
        <f>SUM(H369:H374)</f>
        <v>0</v>
      </c>
      <c r="I368" s="345">
        <f>H368-B368</f>
        <v>-6358</v>
      </c>
      <c r="J368" s="349">
        <f>I368/B368*100</f>
        <v>-100</v>
      </c>
      <c r="K368" s="325"/>
      <c r="L368" s="325">
        <f t="shared" si="18"/>
        <v>2529</v>
      </c>
      <c r="O368" s="325"/>
      <c r="P368" s="363"/>
      <c r="Q368" s="363"/>
      <c r="R368" s="364"/>
    </row>
    <row r="369" ht="16.5" hidden="1" customHeight="1" spans="1:18">
      <c r="A369" s="347" t="s">
        <v>373</v>
      </c>
      <c r="B369" s="348"/>
      <c r="C369" s="348"/>
      <c r="D369" s="349"/>
      <c r="E369" s="348"/>
      <c r="F369" s="345"/>
      <c r="G369" s="346"/>
      <c r="H369" s="348">
        <v>0</v>
      </c>
      <c r="I369" s="345"/>
      <c r="J369" s="349"/>
      <c r="K369" s="325"/>
      <c r="L369" s="325">
        <f t="shared" si="18"/>
        <v>0</v>
      </c>
      <c r="O369" s="325"/>
      <c r="P369" s="363"/>
      <c r="Q369" s="363"/>
      <c r="R369" s="364"/>
    </row>
    <row r="370" ht="16.5" hidden="1" customHeight="1" spans="1:18">
      <c r="A370" s="347" t="s">
        <v>374</v>
      </c>
      <c r="B370" s="348"/>
      <c r="C370" s="348"/>
      <c r="D370" s="349"/>
      <c r="E370" s="348"/>
      <c r="F370" s="345"/>
      <c r="G370" s="346"/>
      <c r="H370" s="348">
        <v>0</v>
      </c>
      <c r="I370" s="345"/>
      <c r="J370" s="349"/>
      <c r="K370" s="325"/>
      <c r="L370" s="325">
        <f t="shared" si="18"/>
        <v>0</v>
      </c>
      <c r="O370" s="325"/>
      <c r="P370" s="363"/>
      <c r="Q370" s="363"/>
      <c r="R370" s="364"/>
    </row>
    <row r="371" ht="16.5" hidden="1" customHeight="1" spans="1:18">
      <c r="A371" s="347" t="s">
        <v>375</v>
      </c>
      <c r="B371" s="348"/>
      <c r="C371" s="348"/>
      <c r="D371" s="349"/>
      <c r="E371" s="348"/>
      <c r="F371" s="345"/>
      <c r="G371" s="346"/>
      <c r="H371" s="348">
        <v>0</v>
      </c>
      <c r="I371" s="345"/>
      <c r="J371" s="349"/>
      <c r="K371" s="325"/>
      <c r="L371" s="325">
        <f t="shared" si="18"/>
        <v>0</v>
      </c>
      <c r="O371" s="325"/>
      <c r="P371" s="363"/>
      <c r="Q371" s="363"/>
      <c r="R371" s="364"/>
    </row>
    <row r="372" ht="16.5" hidden="1" customHeight="1" spans="1:18">
      <c r="A372" s="347" t="s">
        <v>376</v>
      </c>
      <c r="B372" s="348"/>
      <c r="C372" s="348"/>
      <c r="D372" s="349"/>
      <c r="E372" s="348"/>
      <c r="F372" s="345"/>
      <c r="G372" s="346"/>
      <c r="H372" s="348">
        <v>0</v>
      </c>
      <c r="I372" s="345"/>
      <c r="J372" s="349"/>
      <c r="K372" s="325"/>
      <c r="L372" s="325">
        <f t="shared" si="18"/>
        <v>0</v>
      </c>
      <c r="O372" s="325"/>
      <c r="P372" s="363"/>
      <c r="Q372" s="363"/>
      <c r="R372" s="364"/>
    </row>
    <row r="373" ht="16.5" hidden="1" customHeight="1" spans="1:18">
      <c r="A373" s="347" t="s">
        <v>377</v>
      </c>
      <c r="B373" s="348"/>
      <c r="C373" s="348"/>
      <c r="D373" s="349"/>
      <c r="E373" s="348"/>
      <c r="F373" s="345"/>
      <c r="G373" s="346"/>
      <c r="H373" s="348">
        <v>0</v>
      </c>
      <c r="I373" s="345"/>
      <c r="J373" s="349"/>
      <c r="K373" s="325"/>
      <c r="L373" s="325">
        <f t="shared" si="18"/>
        <v>0</v>
      </c>
      <c r="O373" s="325"/>
      <c r="P373" s="363"/>
      <c r="Q373" s="363"/>
      <c r="R373" s="364"/>
    </row>
    <row r="374" ht="16.5" hidden="1" customHeight="1" spans="1:18">
      <c r="A374" s="347" t="s">
        <v>378</v>
      </c>
      <c r="B374" s="348"/>
      <c r="C374" s="348"/>
      <c r="D374" s="349"/>
      <c r="E374" s="348"/>
      <c r="F374" s="345"/>
      <c r="G374" s="346"/>
      <c r="H374" s="348">
        <v>0</v>
      </c>
      <c r="I374" s="345"/>
      <c r="J374" s="349"/>
      <c r="K374" s="325"/>
      <c r="L374" s="325">
        <f t="shared" si="18"/>
        <v>0</v>
      </c>
      <c r="O374" s="325"/>
      <c r="P374" s="363"/>
      <c r="Q374" s="363"/>
      <c r="R374" s="364"/>
    </row>
    <row r="375" s="326" customFormat="1" ht="16.5" customHeight="1" spans="1:18">
      <c r="A375" s="347" t="s">
        <v>379</v>
      </c>
      <c r="B375" s="348">
        <v>5478</v>
      </c>
      <c r="C375" s="348">
        <v>3583</v>
      </c>
      <c r="D375" s="349">
        <f t="shared" ref="D375:D377" si="21">C375/B375*100</f>
        <v>65.4070828769624</v>
      </c>
      <c r="E375" s="348">
        <v>3697</v>
      </c>
      <c r="F375" s="345">
        <f t="shared" ref="F375:F377" si="22">C375-E375</f>
        <v>-114</v>
      </c>
      <c r="G375" s="346">
        <f t="shared" ref="G375:G377" si="23">F375/E375*100</f>
        <v>-3.08358128212064</v>
      </c>
      <c r="H375" s="348">
        <v>3989.864228</v>
      </c>
      <c r="I375" s="345">
        <f t="shared" ref="I375:I377" si="24">H375-B375</f>
        <v>-1488.135772</v>
      </c>
      <c r="J375" s="349">
        <f t="shared" ref="J375:J377" si="25">I375/B375*100</f>
        <v>-27.165676743337</v>
      </c>
      <c r="K375" s="325"/>
      <c r="L375" s="325">
        <f t="shared" si="18"/>
        <v>7572.864228</v>
      </c>
      <c r="O375" s="325"/>
      <c r="P375" s="363"/>
      <c r="Q375" s="363"/>
      <c r="R375" s="364"/>
    </row>
    <row r="376" s="325" customFormat="1" ht="16.5" customHeight="1" spans="1:18">
      <c r="A376" s="344" t="s">
        <v>380</v>
      </c>
      <c r="B376" s="345">
        <f>B377+B382+B391+B397+B402+B407+B412+B419+B423+B427</f>
        <v>22287</v>
      </c>
      <c r="C376" s="345">
        <f>C377+C382+C391+C397+C402+C407+C412+C419+C423+C427</f>
        <v>22385</v>
      </c>
      <c r="D376" s="349">
        <f t="shared" si="21"/>
        <v>100.439718221385</v>
      </c>
      <c r="E376" s="345">
        <f>E377+E382+E391+E397+E402+E407+E412+E419+E423+E427</f>
        <v>25483</v>
      </c>
      <c r="F376" s="345">
        <f t="shared" si="22"/>
        <v>-3098</v>
      </c>
      <c r="G376" s="346">
        <f t="shared" si="23"/>
        <v>-12.1571243574147</v>
      </c>
      <c r="H376" s="345">
        <f>H377+H382+H391+H397+H402+H407+H412+H419+H423+H427</f>
        <v>20603.552497</v>
      </c>
      <c r="I376" s="345">
        <f t="shared" si="24"/>
        <v>-1683.447503</v>
      </c>
      <c r="J376" s="349">
        <f t="shared" si="25"/>
        <v>-7.55349532462871</v>
      </c>
      <c r="L376" s="325">
        <f t="shared" si="18"/>
        <v>42988.552497</v>
      </c>
      <c r="P376" s="362"/>
      <c r="Q376" s="362"/>
      <c r="R376" s="364"/>
    </row>
    <row r="377" s="326" customFormat="1" ht="16.5" customHeight="1" spans="1:18">
      <c r="A377" s="347" t="s">
        <v>381</v>
      </c>
      <c r="B377" s="348">
        <v>4218</v>
      </c>
      <c r="C377" s="348">
        <v>294</v>
      </c>
      <c r="D377" s="349">
        <f t="shared" si="21"/>
        <v>6.9701280227596</v>
      </c>
      <c r="E377" s="348">
        <v>392</v>
      </c>
      <c r="F377" s="345">
        <f t="shared" si="22"/>
        <v>-98</v>
      </c>
      <c r="G377" s="346">
        <f t="shared" si="23"/>
        <v>-25</v>
      </c>
      <c r="H377" s="348">
        <f>SUM(H378:H381)</f>
        <v>399.268662</v>
      </c>
      <c r="I377" s="345">
        <f t="shared" si="24"/>
        <v>-3818.731338</v>
      </c>
      <c r="J377" s="349">
        <f t="shared" si="25"/>
        <v>-90.5341711237553</v>
      </c>
      <c r="K377" s="325"/>
      <c r="L377" s="325">
        <f t="shared" si="18"/>
        <v>693.268662</v>
      </c>
      <c r="O377" s="325"/>
      <c r="P377" s="363"/>
      <c r="Q377" s="363"/>
      <c r="R377" s="364"/>
    </row>
    <row r="378" ht="16.5" customHeight="1" spans="1:18">
      <c r="A378" s="347" t="s">
        <v>155</v>
      </c>
      <c r="B378" s="348"/>
      <c r="C378" s="348"/>
      <c r="D378" s="349"/>
      <c r="E378" s="348"/>
      <c r="F378" s="345"/>
      <c r="G378" s="346"/>
      <c r="H378" s="348">
        <v>399.268662</v>
      </c>
      <c r="I378" s="345"/>
      <c r="J378" s="349"/>
      <c r="K378" s="325"/>
      <c r="L378" s="325">
        <f t="shared" si="18"/>
        <v>399.268662</v>
      </c>
      <c r="O378" s="325"/>
      <c r="P378" s="363"/>
      <c r="Q378" s="363"/>
      <c r="R378" s="364"/>
    </row>
    <row r="379" ht="16.5" hidden="1" customHeight="1" spans="1:18">
      <c r="A379" s="347" t="s">
        <v>156</v>
      </c>
      <c r="B379" s="348"/>
      <c r="C379" s="348"/>
      <c r="D379" s="349"/>
      <c r="E379" s="348"/>
      <c r="F379" s="345"/>
      <c r="G379" s="346"/>
      <c r="H379" s="348">
        <v>0</v>
      </c>
      <c r="I379" s="345"/>
      <c r="J379" s="349"/>
      <c r="K379" s="325"/>
      <c r="L379" s="325">
        <f t="shared" si="18"/>
        <v>0</v>
      </c>
      <c r="O379" s="325"/>
      <c r="P379" s="363"/>
      <c r="Q379" s="363"/>
      <c r="R379" s="364"/>
    </row>
    <row r="380" ht="16.5" hidden="1" customHeight="1" spans="1:18">
      <c r="A380" s="347" t="s">
        <v>157</v>
      </c>
      <c r="B380" s="348"/>
      <c r="C380" s="348"/>
      <c r="D380" s="349"/>
      <c r="E380" s="348"/>
      <c r="F380" s="345"/>
      <c r="G380" s="346"/>
      <c r="H380" s="348">
        <v>0</v>
      </c>
      <c r="I380" s="345"/>
      <c r="J380" s="349"/>
      <c r="K380" s="325"/>
      <c r="L380" s="325">
        <f t="shared" si="18"/>
        <v>0</v>
      </c>
      <c r="O380" s="325"/>
      <c r="P380" s="363"/>
      <c r="Q380" s="363"/>
      <c r="R380" s="364"/>
    </row>
    <row r="381" ht="16.5" hidden="1" customHeight="1" spans="1:18">
      <c r="A381" s="347" t="s">
        <v>382</v>
      </c>
      <c r="B381" s="348"/>
      <c r="C381" s="348"/>
      <c r="D381" s="349"/>
      <c r="E381" s="348"/>
      <c r="F381" s="345"/>
      <c r="G381" s="346"/>
      <c r="H381" s="348">
        <v>0</v>
      </c>
      <c r="I381" s="345"/>
      <c r="J381" s="349"/>
      <c r="K381" s="325"/>
      <c r="L381" s="325">
        <f t="shared" si="18"/>
        <v>0</v>
      </c>
      <c r="O381" s="325"/>
      <c r="P381" s="363"/>
      <c r="Q381" s="363"/>
      <c r="R381" s="364"/>
    </row>
    <row r="382" s="326" customFormat="1" ht="16.5" hidden="1" customHeight="1" spans="1:18">
      <c r="A382" s="347" t="s">
        <v>383</v>
      </c>
      <c r="B382" s="348"/>
      <c r="C382" s="348"/>
      <c r="D382" s="349"/>
      <c r="E382" s="348"/>
      <c r="F382" s="345">
        <f>C382-E382</f>
        <v>0</v>
      </c>
      <c r="G382" s="346"/>
      <c r="H382" s="348"/>
      <c r="I382" s="345"/>
      <c r="J382" s="349"/>
      <c r="K382" s="325"/>
      <c r="L382" s="325">
        <f t="shared" si="18"/>
        <v>0</v>
      </c>
      <c r="O382" s="325"/>
      <c r="P382" s="363"/>
      <c r="Q382" s="363"/>
      <c r="R382" s="364"/>
    </row>
    <row r="383" ht="16.5" hidden="1" customHeight="1" spans="1:18">
      <c r="A383" s="347" t="s">
        <v>384</v>
      </c>
      <c r="B383" s="348"/>
      <c r="C383" s="348"/>
      <c r="D383" s="349"/>
      <c r="E383" s="348"/>
      <c r="F383" s="345"/>
      <c r="G383" s="346"/>
      <c r="H383" s="348"/>
      <c r="I383" s="345"/>
      <c r="J383" s="349"/>
      <c r="K383" s="325"/>
      <c r="L383" s="325">
        <f t="shared" si="18"/>
        <v>0</v>
      </c>
      <c r="O383" s="325"/>
      <c r="P383" s="363"/>
      <c r="Q383" s="363"/>
      <c r="R383" s="364"/>
    </row>
    <row r="384" ht="16.5" hidden="1" customHeight="1" spans="1:18">
      <c r="A384" s="347" t="s">
        <v>385</v>
      </c>
      <c r="B384" s="348"/>
      <c r="C384" s="348"/>
      <c r="D384" s="349"/>
      <c r="E384" s="348"/>
      <c r="F384" s="345"/>
      <c r="G384" s="346"/>
      <c r="H384" s="348"/>
      <c r="I384" s="345"/>
      <c r="J384" s="349"/>
      <c r="K384" s="325"/>
      <c r="L384" s="325">
        <f t="shared" si="18"/>
        <v>0</v>
      </c>
      <c r="O384" s="325"/>
      <c r="P384" s="363"/>
      <c r="Q384" s="363"/>
      <c r="R384" s="364"/>
    </row>
    <row r="385" ht="16.5" hidden="1" customHeight="1" spans="1:18">
      <c r="A385" s="347" t="s">
        <v>386</v>
      </c>
      <c r="B385" s="348"/>
      <c r="C385" s="348"/>
      <c r="D385" s="349"/>
      <c r="E385" s="348"/>
      <c r="F385" s="345"/>
      <c r="G385" s="346"/>
      <c r="H385" s="348"/>
      <c r="I385" s="345"/>
      <c r="J385" s="349"/>
      <c r="K385" s="325"/>
      <c r="L385" s="325">
        <f t="shared" si="18"/>
        <v>0</v>
      </c>
      <c r="O385" s="325"/>
      <c r="P385" s="363"/>
      <c r="Q385" s="363"/>
      <c r="R385" s="364"/>
    </row>
    <row r="386" ht="16.5" hidden="1" customHeight="1" spans="1:18">
      <c r="A386" s="347" t="s">
        <v>387</v>
      </c>
      <c r="B386" s="348"/>
      <c r="C386" s="348"/>
      <c r="D386" s="349"/>
      <c r="E386" s="348"/>
      <c r="F386" s="345"/>
      <c r="G386" s="346"/>
      <c r="H386" s="348"/>
      <c r="I386" s="345"/>
      <c r="J386" s="349"/>
      <c r="K386" s="325"/>
      <c r="L386" s="325">
        <f t="shared" si="18"/>
        <v>0</v>
      </c>
      <c r="O386" s="325"/>
      <c r="P386" s="363"/>
      <c r="Q386" s="363"/>
      <c r="R386" s="364"/>
    </row>
    <row r="387" ht="16.5" hidden="1" customHeight="1" spans="1:18">
      <c r="A387" s="347" t="s">
        <v>388</v>
      </c>
      <c r="B387" s="348"/>
      <c r="C387" s="348"/>
      <c r="D387" s="349"/>
      <c r="E387" s="348"/>
      <c r="F387" s="345"/>
      <c r="G387" s="346"/>
      <c r="H387" s="348"/>
      <c r="I387" s="345"/>
      <c r="J387" s="349"/>
      <c r="K387" s="325"/>
      <c r="L387" s="325">
        <f t="shared" si="18"/>
        <v>0</v>
      </c>
      <c r="O387" s="325"/>
      <c r="P387" s="363"/>
      <c r="Q387" s="363"/>
      <c r="R387" s="364"/>
    </row>
    <row r="388" ht="16.5" hidden="1" customHeight="1" spans="1:18">
      <c r="A388" s="347" t="s">
        <v>389</v>
      </c>
      <c r="B388" s="348"/>
      <c r="C388" s="348"/>
      <c r="D388" s="349"/>
      <c r="E388" s="348"/>
      <c r="F388" s="345"/>
      <c r="G388" s="346"/>
      <c r="H388" s="348"/>
      <c r="I388" s="345"/>
      <c r="J388" s="349"/>
      <c r="K388" s="325"/>
      <c r="L388" s="325">
        <f t="shared" si="18"/>
        <v>0</v>
      </c>
      <c r="O388" s="325"/>
      <c r="P388" s="363"/>
      <c r="Q388" s="363"/>
      <c r="R388" s="364"/>
    </row>
    <row r="389" ht="16.5" hidden="1" customHeight="1" spans="1:18">
      <c r="A389" s="347" t="s">
        <v>390</v>
      </c>
      <c r="B389" s="348"/>
      <c r="C389" s="348"/>
      <c r="D389" s="349"/>
      <c r="E389" s="348"/>
      <c r="F389" s="345"/>
      <c r="G389" s="346"/>
      <c r="H389" s="348"/>
      <c r="I389" s="345"/>
      <c r="J389" s="349"/>
      <c r="K389" s="325"/>
      <c r="L389" s="325">
        <f t="shared" si="18"/>
        <v>0</v>
      </c>
      <c r="O389" s="325"/>
      <c r="P389" s="363"/>
      <c r="Q389" s="363"/>
      <c r="R389" s="364"/>
    </row>
    <row r="390" ht="16.5" hidden="1" customHeight="1" spans="1:18">
      <c r="A390" s="347" t="s">
        <v>391</v>
      </c>
      <c r="B390" s="348"/>
      <c r="C390" s="348"/>
      <c r="D390" s="349"/>
      <c r="E390" s="348"/>
      <c r="F390" s="345"/>
      <c r="G390" s="346"/>
      <c r="H390" s="348"/>
      <c r="I390" s="345"/>
      <c r="J390" s="349"/>
      <c r="K390" s="325"/>
      <c r="L390" s="325">
        <f t="shared" si="18"/>
        <v>0</v>
      </c>
      <c r="O390" s="325"/>
      <c r="P390" s="363"/>
      <c r="Q390" s="363"/>
      <c r="R390" s="364"/>
    </row>
    <row r="391" s="326" customFormat="1" ht="16.5" customHeight="1" spans="1:18">
      <c r="A391" s="347" t="s">
        <v>392</v>
      </c>
      <c r="B391" s="348"/>
      <c r="C391" s="348">
        <v>55</v>
      </c>
      <c r="D391" s="349"/>
      <c r="E391" s="348">
        <v>17</v>
      </c>
      <c r="F391" s="345">
        <f>C391-E391</f>
        <v>38</v>
      </c>
      <c r="G391" s="346">
        <f>F391/E391*100</f>
        <v>223.529411764706</v>
      </c>
      <c r="H391" s="348">
        <f>SUM(H392:H396)</f>
        <v>0</v>
      </c>
      <c r="I391" s="345">
        <f>H391-B391</f>
        <v>0</v>
      </c>
      <c r="J391" s="349"/>
      <c r="K391" s="325"/>
      <c r="L391" s="325">
        <f t="shared" si="18"/>
        <v>55</v>
      </c>
      <c r="O391" s="325"/>
      <c r="P391" s="363"/>
      <c r="Q391" s="363"/>
      <c r="R391" s="364"/>
    </row>
    <row r="392" ht="16.5" hidden="1" customHeight="1" spans="1:18">
      <c r="A392" s="347" t="s">
        <v>384</v>
      </c>
      <c r="B392" s="348"/>
      <c r="C392" s="348"/>
      <c r="D392" s="349"/>
      <c r="E392" s="348"/>
      <c r="F392" s="345"/>
      <c r="G392" s="346"/>
      <c r="H392" s="348"/>
      <c r="I392" s="345"/>
      <c r="J392" s="349"/>
      <c r="K392" s="325"/>
      <c r="L392" s="325">
        <f t="shared" ref="L392:L455" si="26">C392+H392</f>
        <v>0</v>
      </c>
      <c r="O392" s="325"/>
      <c r="P392" s="363"/>
      <c r="Q392" s="363"/>
      <c r="R392" s="364"/>
    </row>
    <row r="393" ht="16.5" hidden="1" customHeight="1" spans="1:18">
      <c r="A393" s="347" t="s">
        <v>393</v>
      </c>
      <c r="B393" s="348"/>
      <c r="C393" s="348"/>
      <c r="D393" s="349"/>
      <c r="E393" s="348"/>
      <c r="F393" s="345"/>
      <c r="G393" s="346"/>
      <c r="H393" s="348"/>
      <c r="I393" s="345"/>
      <c r="J393" s="349"/>
      <c r="K393" s="325"/>
      <c r="L393" s="325">
        <f t="shared" si="26"/>
        <v>0</v>
      </c>
      <c r="O393" s="325"/>
      <c r="P393" s="363"/>
      <c r="Q393" s="363"/>
      <c r="R393" s="364"/>
    </row>
    <row r="394" ht="16.5" hidden="1" customHeight="1" spans="1:18">
      <c r="A394" s="347" t="s">
        <v>394</v>
      </c>
      <c r="B394" s="348"/>
      <c r="C394" s="348"/>
      <c r="D394" s="349"/>
      <c r="E394" s="348"/>
      <c r="F394" s="345"/>
      <c r="G394" s="346"/>
      <c r="H394" s="348"/>
      <c r="I394" s="345"/>
      <c r="J394" s="349"/>
      <c r="K394" s="325"/>
      <c r="L394" s="325">
        <f t="shared" si="26"/>
        <v>0</v>
      </c>
      <c r="O394" s="325"/>
      <c r="P394" s="363"/>
      <c r="Q394" s="363"/>
      <c r="R394" s="364"/>
    </row>
    <row r="395" ht="16.5" hidden="1" customHeight="1" spans="1:18">
      <c r="A395" s="347" t="s">
        <v>395</v>
      </c>
      <c r="B395" s="348"/>
      <c r="C395" s="348"/>
      <c r="D395" s="349"/>
      <c r="E395" s="348"/>
      <c r="F395" s="345"/>
      <c r="G395" s="346"/>
      <c r="H395" s="348"/>
      <c r="I395" s="345"/>
      <c r="J395" s="349"/>
      <c r="K395" s="325"/>
      <c r="L395" s="325">
        <f t="shared" si="26"/>
        <v>0</v>
      </c>
      <c r="O395" s="325"/>
      <c r="P395" s="363"/>
      <c r="Q395" s="363"/>
      <c r="R395" s="364"/>
    </row>
    <row r="396" ht="16.5" hidden="1" customHeight="1" spans="1:18">
      <c r="A396" s="347" t="s">
        <v>396</v>
      </c>
      <c r="B396" s="348"/>
      <c r="C396" s="348"/>
      <c r="D396" s="349"/>
      <c r="E396" s="348"/>
      <c r="F396" s="345"/>
      <c r="G396" s="346"/>
      <c r="H396" s="348"/>
      <c r="I396" s="345"/>
      <c r="J396" s="349"/>
      <c r="K396" s="325"/>
      <c r="L396" s="325">
        <f t="shared" si="26"/>
        <v>0</v>
      </c>
      <c r="O396" s="325"/>
      <c r="P396" s="363"/>
      <c r="Q396" s="363"/>
      <c r="R396" s="364"/>
    </row>
    <row r="397" s="326" customFormat="1" ht="16.5" customHeight="1" spans="1:18">
      <c r="A397" s="347" t="s">
        <v>397</v>
      </c>
      <c r="B397" s="348">
        <v>1179</v>
      </c>
      <c r="C397" s="348">
        <v>10405</v>
      </c>
      <c r="D397" s="349">
        <f>C397/B397*100</f>
        <v>882.527565733673</v>
      </c>
      <c r="E397" s="348">
        <v>1882</v>
      </c>
      <c r="F397" s="345">
        <f>C397-E397</f>
        <v>8523</v>
      </c>
      <c r="G397" s="346">
        <f>F397/E397*100</f>
        <v>452.869287991498</v>
      </c>
      <c r="H397" s="348">
        <f>SUM(H398:H401)</f>
        <v>2100</v>
      </c>
      <c r="I397" s="345">
        <f>H397-B397</f>
        <v>921</v>
      </c>
      <c r="J397" s="349">
        <f>I397/B397*100</f>
        <v>78.117048346056</v>
      </c>
      <c r="K397" s="325"/>
      <c r="L397" s="325">
        <f t="shared" si="26"/>
        <v>12505</v>
      </c>
      <c r="O397" s="325"/>
      <c r="P397" s="363"/>
      <c r="Q397" s="363"/>
      <c r="R397" s="364"/>
    </row>
    <row r="398" ht="16.5" hidden="1" customHeight="1" spans="1:18">
      <c r="A398" s="347" t="s">
        <v>384</v>
      </c>
      <c r="B398" s="348"/>
      <c r="C398" s="348"/>
      <c r="D398" s="349"/>
      <c r="E398" s="348"/>
      <c r="F398" s="345"/>
      <c r="G398" s="346"/>
      <c r="H398" s="348">
        <v>0</v>
      </c>
      <c r="I398" s="345"/>
      <c r="J398" s="349"/>
      <c r="K398" s="325"/>
      <c r="L398" s="325">
        <f t="shared" si="26"/>
        <v>0</v>
      </c>
      <c r="O398" s="325"/>
      <c r="P398" s="363"/>
      <c r="Q398" s="363"/>
      <c r="R398" s="364"/>
    </row>
    <row r="399" ht="16.5" hidden="1" customHeight="1" spans="1:18">
      <c r="A399" s="347" t="s">
        <v>398</v>
      </c>
      <c r="B399" s="348"/>
      <c r="C399" s="348"/>
      <c r="D399" s="349"/>
      <c r="E399" s="348"/>
      <c r="F399" s="345"/>
      <c r="G399" s="346"/>
      <c r="H399" s="348">
        <v>0</v>
      </c>
      <c r="I399" s="345"/>
      <c r="J399" s="349"/>
      <c r="K399" s="325"/>
      <c r="L399" s="325">
        <f t="shared" si="26"/>
        <v>0</v>
      </c>
      <c r="O399" s="325"/>
      <c r="P399" s="363"/>
      <c r="Q399" s="363"/>
      <c r="R399" s="364"/>
    </row>
    <row r="400" ht="16.5" customHeight="1" spans="1:18">
      <c r="A400" s="347" t="s">
        <v>399</v>
      </c>
      <c r="B400" s="348"/>
      <c r="C400" s="348"/>
      <c r="D400" s="349"/>
      <c r="E400" s="348"/>
      <c r="F400" s="345"/>
      <c r="G400" s="346"/>
      <c r="H400" s="348">
        <v>2000</v>
      </c>
      <c r="I400" s="345"/>
      <c r="J400" s="349"/>
      <c r="K400" s="325"/>
      <c r="L400" s="325">
        <f t="shared" si="26"/>
        <v>2000</v>
      </c>
      <c r="O400" s="325"/>
      <c r="P400" s="363"/>
      <c r="Q400" s="363"/>
      <c r="R400" s="364"/>
    </row>
    <row r="401" ht="16.5" customHeight="1" spans="1:18">
      <c r="A401" s="347" t="s">
        <v>400</v>
      </c>
      <c r="B401" s="348"/>
      <c r="C401" s="348"/>
      <c r="D401" s="349"/>
      <c r="E401" s="348"/>
      <c r="F401" s="345"/>
      <c r="G401" s="346"/>
      <c r="H401" s="348">
        <v>100</v>
      </c>
      <c r="I401" s="345"/>
      <c r="J401" s="349"/>
      <c r="K401" s="325"/>
      <c r="L401" s="325">
        <f t="shared" si="26"/>
        <v>100</v>
      </c>
      <c r="O401" s="325"/>
      <c r="P401" s="363"/>
      <c r="Q401" s="363"/>
      <c r="R401" s="364"/>
    </row>
    <row r="402" s="326" customFormat="1" ht="16.5" customHeight="1" spans="1:18">
      <c r="A402" s="347" t="s">
        <v>401</v>
      </c>
      <c r="B402" s="348">
        <v>11</v>
      </c>
      <c r="C402" s="348">
        <v>11</v>
      </c>
      <c r="D402" s="349">
        <f>C402/B402*100</f>
        <v>100</v>
      </c>
      <c r="E402" s="348">
        <v>21</v>
      </c>
      <c r="F402" s="345">
        <f>C402-E402</f>
        <v>-10</v>
      </c>
      <c r="G402" s="346">
        <f>F402/E402*100</f>
        <v>-47.6190476190476</v>
      </c>
      <c r="H402" s="348">
        <f>SUM(H403:H406)</f>
        <v>4.4</v>
      </c>
      <c r="I402" s="345">
        <f>H402-B402</f>
        <v>-6.6</v>
      </c>
      <c r="J402" s="349">
        <f>I402/B402*100</f>
        <v>-60</v>
      </c>
      <c r="K402" s="325"/>
      <c r="L402" s="325">
        <f t="shared" si="26"/>
        <v>15.4</v>
      </c>
      <c r="O402" s="325"/>
      <c r="P402" s="363"/>
      <c r="Q402" s="363"/>
      <c r="R402" s="364"/>
    </row>
    <row r="403" ht="16.5" customHeight="1" spans="1:18">
      <c r="A403" s="347" t="s">
        <v>384</v>
      </c>
      <c r="B403" s="348"/>
      <c r="C403" s="348"/>
      <c r="D403" s="349"/>
      <c r="E403" s="348"/>
      <c r="F403" s="345"/>
      <c r="G403" s="346"/>
      <c r="H403" s="348">
        <v>4.4</v>
      </c>
      <c r="I403" s="345"/>
      <c r="J403" s="349"/>
      <c r="K403" s="325"/>
      <c r="L403" s="325">
        <f t="shared" si="26"/>
        <v>4.4</v>
      </c>
      <c r="O403" s="325"/>
      <c r="P403" s="363"/>
      <c r="Q403" s="363"/>
      <c r="R403" s="364"/>
    </row>
    <row r="404" ht="16.5" hidden="1" customHeight="1" spans="1:18">
      <c r="A404" s="347" t="s">
        <v>402</v>
      </c>
      <c r="B404" s="348"/>
      <c r="C404" s="348"/>
      <c r="D404" s="349"/>
      <c r="E404" s="348"/>
      <c r="F404" s="345"/>
      <c r="G404" s="346"/>
      <c r="H404" s="348">
        <v>0</v>
      </c>
      <c r="I404" s="345"/>
      <c r="J404" s="349"/>
      <c r="K404" s="325"/>
      <c r="L404" s="325">
        <f t="shared" si="26"/>
        <v>0</v>
      </c>
      <c r="O404" s="325"/>
      <c r="P404" s="363"/>
      <c r="Q404" s="363"/>
      <c r="R404" s="364"/>
    </row>
    <row r="405" ht="16.5" hidden="1" customHeight="1" spans="1:18">
      <c r="A405" s="347" t="s">
        <v>403</v>
      </c>
      <c r="B405" s="348"/>
      <c r="C405" s="348"/>
      <c r="D405" s="349"/>
      <c r="E405" s="348"/>
      <c r="F405" s="345"/>
      <c r="G405" s="346"/>
      <c r="H405" s="348">
        <v>0</v>
      </c>
      <c r="I405" s="345"/>
      <c r="J405" s="349"/>
      <c r="K405" s="325"/>
      <c r="L405" s="325">
        <f t="shared" si="26"/>
        <v>0</v>
      </c>
      <c r="O405" s="325"/>
      <c r="P405" s="363"/>
      <c r="Q405" s="363"/>
      <c r="R405" s="364"/>
    </row>
    <row r="406" ht="16.5" hidden="1" customHeight="1" spans="1:18">
      <c r="A406" s="347" t="s">
        <v>404</v>
      </c>
      <c r="B406" s="348"/>
      <c r="C406" s="348"/>
      <c r="D406" s="349"/>
      <c r="E406" s="348"/>
      <c r="F406" s="345"/>
      <c r="G406" s="346"/>
      <c r="H406" s="348">
        <v>0</v>
      </c>
      <c r="I406" s="345"/>
      <c r="J406" s="349"/>
      <c r="K406" s="325"/>
      <c r="L406" s="325">
        <f t="shared" si="26"/>
        <v>0</v>
      </c>
      <c r="O406" s="325"/>
      <c r="P406" s="363"/>
      <c r="Q406" s="363"/>
      <c r="R406" s="364"/>
    </row>
    <row r="407" s="326" customFormat="1" ht="16.5" hidden="1" customHeight="1" spans="1:18">
      <c r="A407" s="347" t="s">
        <v>405</v>
      </c>
      <c r="B407" s="348"/>
      <c r="C407" s="348"/>
      <c r="D407" s="349"/>
      <c r="E407" s="348">
        <v>4</v>
      </c>
      <c r="F407" s="345">
        <f>C407-E407</f>
        <v>-4</v>
      </c>
      <c r="G407" s="346">
        <f>F407/E407*100</f>
        <v>-100</v>
      </c>
      <c r="H407" s="348">
        <f>SUM(H408:H411)</f>
        <v>0</v>
      </c>
      <c r="I407" s="345">
        <f>H407-B407</f>
        <v>0</v>
      </c>
      <c r="J407" s="349"/>
      <c r="K407" s="325"/>
      <c r="L407" s="325">
        <f t="shared" si="26"/>
        <v>0</v>
      </c>
      <c r="O407" s="325"/>
      <c r="P407" s="363"/>
      <c r="Q407" s="363"/>
      <c r="R407" s="364"/>
    </row>
    <row r="408" ht="16.5" hidden="1" customHeight="1" spans="1:18">
      <c r="A408" s="347" t="s">
        <v>406</v>
      </c>
      <c r="B408" s="348"/>
      <c r="C408" s="348"/>
      <c r="D408" s="349"/>
      <c r="E408" s="348"/>
      <c r="F408" s="345"/>
      <c r="G408" s="346"/>
      <c r="H408" s="348"/>
      <c r="I408" s="345"/>
      <c r="J408" s="349"/>
      <c r="K408" s="325"/>
      <c r="L408" s="325">
        <f t="shared" si="26"/>
        <v>0</v>
      </c>
      <c r="O408" s="325"/>
      <c r="P408" s="363"/>
      <c r="Q408" s="363"/>
      <c r="R408" s="364"/>
    </row>
    <row r="409" ht="16.5" hidden="1" customHeight="1" spans="1:18">
      <c r="A409" s="347" t="s">
        <v>407</v>
      </c>
      <c r="B409" s="348"/>
      <c r="C409" s="348"/>
      <c r="D409" s="349"/>
      <c r="E409" s="348"/>
      <c r="F409" s="345"/>
      <c r="G409" s="346"/>
      <c r="H409" s="348"/>
      <c r="I409" s="345"/>
      <c r="J409" s="349"/>
      <c r="K409" s="325"/>
      <c r="L409" s="325">
        <f t="shared" si="26"/>
        <v>0</v>
      </c>
      <c r="O409" s="325"/>
      <c r="P409" s="363"/>
      <c r="Q409" s="363"/>
      <c r="R409" s="364"/>
    </row>
    <row r="410" ht="16.5" hidden="1" customHeight="1" spans="1:18">
      <c r="A410" s="347" t="s">
        <v>408</v>
      </c>
      <c r="B410" s="348"/>
      <c r="C410" s="348"/>
      <c r="D410" s="349"/>
      <c r="E410" s="348"/>
      <c r="F410" s="345"/>
      <c r="G410" s="346"/>
      <c r="H410" s="348"/>
      <c r="I410" s="345"/>
      <c r="J410" s="349"/>
      <c r="K410" s="325"/>
      <c r="L410" s="325">
        <f t="shared" si="26"/>
        <v>0</v>
      </c>
      <c r="O410" s="325"/>
      <c r="P410" s="363"/>
      <c r="Q410" s="363"/>
      <c r="R410" s="364"/>
    </row>
    <row r="411" ht="16.5" hidden="1" customHeight="1" spans="1:18">
      <c r="A411" s="347" t="s">
        <v>409</v>
      </c>
      <c r="B411" s="348"/>
      <c r="C411" s="348"/>
      <c r="D411" s="349"/>
      <c r="E411" s="348"/>
      <c r="F411" s="345"/>
      <c r="G411" s="346"/>
      <c r="H411" s="348"/>
      <c r="I411" s="345"/>
      <c r="J411" s="349"/>
      <c r="K411" s="325"/>
      <c r="L411" s="325">
        <f t="shared" si="26"/>
        <v>0</v>
      </c>
      <c r="O411" s="325"/>
      <c r="P411" s="363"/>
      <c r="Q411" s="363"/>
      <c r="R411" s="364"/>
    </row>
    <row r="412" s="326" customFormat="1" ht="16.5" customHeight="1" spans="1:18">
      <c r="A412" s="347" t="s">
        <v>410</v>
      </c>
      <c r="B412" s="348">
        <v>156</v>
      </c>
      <c r="C412" s="348">
        <v>496</v>
      </c>
      <c r="D412" s="349">
        <f>C412/B412*100</f>
        <v>317.948717948718</v>
      </c>
      <c r="E412" s="348">
        <v>639</v>
      </c>
      <c r="F412" s="345">
        <f>C412-E412</f>
        <v>-143</v>
      </c>
      <c r="G412" s="346">
        <f>F412/E412*100</f>
        <v>-22.3787167449139</v>
      </c>
      <c r="H412" s="348">
        <f>SUM(H413:H418)</f>
        <v>483.720898</v>
      </c>
      <c r="I412" s="345">
        <f>H412-B412</f>
        <v>327.720898</v>
      </c>
      <c r="J412" s="349">
        <f>I412/B412*100</f>
        <v>210.077498717949</v>
      </c>
      <c r="K412" s="325"/>
      <c r="L412" s="325">
        <f t="shared" si="26"/>
        <v>979.720898</v>
      </c>
      <c r="O412" s="325"/>
      <c r="P412" s="363"/>
      <c r="Q412" s="363"/>
      <c r="R412" s="364"/>
    </row>
    <row r="413" ht="16.5" hidden="1" customHeight="1" spans="1:18">
      <c r="A413" s="347" t="s">
        <v>384</v>
      </c>
      <c r="B413" s="348"/>
      <c r="C413" s="348"/>
      <c r="D413" s="349"/>
      <c r="E413" s="348"/>
      <c r="F413" s="345"/>
      <c r="G413" s="346"/>
      <c r="H413" s="348">
        <v>0</v>
      </c>
      <c r="I413" s="345"/>
      <c r="J413" s="349"/>
      <c r="K413" s="325"/>
      <c r="L413" s="325">
        <f t="shared" si="26"/>
        <v>0</v>
      </c>
      <c r="O413" s="325"/>
      <c r="P413" s="363"/>
      <c r="Q413" s="363"/>
      <c r="R413" s="364"/>
    </row>
    <row r="414" ht="16.5" customHeight="1" spans="1:18">
      <c r="A414" s="347" t="s">
        <v>411</v>
      </c>
      <c r="B414" s="348"/>
      <c r="C414" s="348"/>
      <c r="D414" s="349"/>
      <c r="E414" s="348"/>
      <c r="F414" s="345"/>
      <c r="G414" s="346"/>
      <c r="H414" s="348">
        <v>4</v>
      </c>
      <c r="I414" s="345"/>
      <c r="J414" s="349"/>
      <c r="K414" s="325"/>
      <c r="L414" s="325">
        <f t="shared" si="26"/>
        <v>4</v>
      </c>
      <c r="O414" s="325"/>
      <c r="P414" s="363"/>
      <c r="Q414" s="363"/>
      <c r="R414" s="364"/>
    </row>
    <row r="415" ht="16.5" hidden="1" customHeight="1" spans="1:18">
      <c r="A415" s="347" t="s">
        <v>412</v>
      </c>
      <c r="B415" s="348"/>
      <c r="C415" s="348"/>
      <c r="D415" s="349"/>
      <c r="E415" s="348"/>
      <c r="F415" s="345"/>
      <c r="G415" s="346"/>
      <c r="H415" s="348">
        <v>0</v>
      </c>
      <c r="I415" s="345"/>
      <c r="J415" s="349"/>
      <c r="K415" s="325"/>
      <c r="L415" s="325">
        <f t="shared" si="26"/>
        <v>0</v>
      </c>
      <c r="O415" s="325"/>
      <c r="P415" s="363"/>
      <c r="Q415" s="363"/>
      <c r="R415" s="364"/>
    </row>
    <row r="416" ht="16.5" hidden="1" customHeight="1" spans="1:18">
      <c r="A416" s="347" t="s">
        <v>413</v>
      </c>
      <c r="B416" s="348"/>
      <c r="C416" s="348"/>
      <c r="D416" s="349"/>
      <c r="E416" s="348"/>
      <c r="F416" s="345"/>
      <c r="G416" s="346"/>
      <c r="H416" s="348">
        <v>0</v>
      </c>
      <c r="I416" s="345"/>
      <c r="J416" s="349"/>
      <c r="K416" s="325"/>
      <c r="L416" s="325">
        <f t="shared" si="26"/>
        <v>0</v>
      </c>
      <c r="O416" s="325"/>
      <c r="P416" s="363"/>
      <c r="Q416" s="363"/>
      <c r="R416" s="364"/>
    </row>
    <row r="417" ht="16.5" customHeight="1" spans="1:18">
      <c r="A417" s="347" t="s">
        <v>414</v>
      </c>
      <c r="B417" s="348"/>
      <c r="C417" s="348"/>
      <c r="D417" s="349"/>
      <c r="E417" s="348"/>
      <c r="F417" s="345"/>
      <c r="G417" s="346"/>
      <c r="H417" s="348">
        <v>479.720898</v>
      </c>
      <c r="I417" s="345"/>
      <c r="J417" s="349"/>
      <c r="K417" s="325"/>
      <c r="L417" s="325">
        <f t="shared" si="26"/>
        <v>479.720898</v>
      </c>
      <c r="O417" s="325"/>
      <c r="P417" s="363"/>
      <c r="Q417" s="363"/>
      <c r="R417" s="364"/>
    </row>
    <row r="418" ht="16.5" hidden="1" customHeight="1" spans="1:18">
      <c r="A418" s="347" t="s">
        <v>415</v>
      </c>
      <c r="B418" s="348"/>
      <c r="C418" s="348"/>
      <c r="D418" s="349"/>
      <c r="E418" s="348"/>
      <c r="F418" s="345"/>
      <c r="G418" s="346"/>
      <c r="H418" s="348">
        <v>0</v>
      </c>
      <c r="I418" s="345"/>
      <c r="J418" s="349"/>
      <c r="K418" s="325"/>
      <c r="L418" s="325">
        <f t="shared" si="26"/>
        <v>0</v>
      </c>
      <c r="O418" s="325"/>
      <c r="P418" s="363"/>
      <c r="Q418" s="363"/>
      <c r="R418" s="364"/>
    </row>
    <row r="419" s="326" customFormat="1" ht="16.5" customHeight="1" spans="1:18">
      <c r="A419" s="347" t="s">
        <v>416</v>
      </c>
      <c r="B419" s="348"/>
      <c r="C419" s="348"/>
      <c r="D419" s="349"/>
      <c r="E419" s="348">
        <v>23</v>
      </c>
      <c r="F419" s="345">
        <f>C419-E419</f>
        <v>-23</v>
      </c>
      <c r="G419" s="346"/>
      <c r="H419" s="348">
        <f>SUM(H420:H422)</f>
        <v>8</v>
      </c>
      <c r="I419" s="345">
        <f>H419-B419</f>
        <v>8</v>
      </c>
      <c r="J419" s="349"/>
      <c r="K419" s="325"/>
      <c r="L419" s="325">
        <f t="shared" si="26"/>
        <v>8</v>
      </c>
      <c r="O419" s="325"/>
      <c r="P419" s="363"/>
      <c r="Q419" s="363"/>
      <c r="R419" s="364"/>
    </row>
    <row r="420" ht="16.5" hidden="1" customHeight="1" spans="1:18">
      <c r="A420" s="347" t="s">
        <v>417</v>
      </c>
      <c r="B420" s="348"/>
      <c r="C420" s="348"/>
      <c r="D420" s="349"/>
      <c r="E420" s="348"/>
      <c r="F420" s="345"/>
      <c r="G420" s="346"/>
      <c r="H420" s="348">
        <v>0</v>
      </c>
      <c r="I420" s="345"/>
      <c r="J420" s="349"/>
      <c r="K420" s="325"/>
      <c r="L420" s="325">
        <f t="shared" si="26"/>
        <v>0</v>
      </c>
      <c r="O420" s="325"/>
      <c r="P420" s="363"/>
      <c r="Q420" s="363"/>
      <c r="R420" s="364"/>
    </row>
    <row r="421" ht="16.5" hidden="1" customHeight="1" spans="1:18">
      <c r="A421" s="347" t="s">
        <v>418</v>
      </c>
      <c r="B421" s="348"/>
      <c r="C421" s="348"/>
      <c r="D421" s="349"/>
      <c r="E421" s="348"/>
      <c r="F421" s="345"/>
      <c r="G421" s="346"/>
      <c r="H421" s="348">
        <v>0</v>
      </c>
      <c r="I421" s="345"/>
      <c r="J421" s="349"/>
      <c r="K421" s="325"/>
      <c r="L421" s="325">
        <f t="shared" si="26"/>
        <v>0</v>
      </c>
      <c r="O421" s="325"/>
      <c r="P421" s="363"/>
      <c r="Q421" s="363"/>
      <c r="R421" s="364"/>
    </row>
    <row r="422" ht="16.5" customHeight="1" spans="1:18">
      <c r="A422" s="347" t="s">
        <v>419</v>
      </c>
      <c r="B422" s="348"/>
      <c r="C422" s="348"/>
      <c r="D422" s="349"/>
      <c r="E422" s="348"/>
      <c r="F422" s="345"/>
      <c r="G422" s="346"/>
      <c r="H422" s="348">
        <v>8</v>
      </c>
      <c r="I422" s="345"/>
      <c r="J422" s="349"/>
      <c r="K422" s="325"/>
      <c r="L422" s="325">
        <f t="shared" si="26"/>
        <v>8</v>
      </c>
      <c r="O422" s="325"/>
      <c r="P422" s="363"/>
      <c r="Q422" s="363"/>
      <c r="R422" s="364"/>
    </row>
    <row r="423" s="326" customFormat="1" ht="16.5" hidden="1" customHeight="1" spans="1:18">
      <c r="A423" s="347" t="s">
        <v>420</v>
      </c>
      <c r="B423" s="348"/>
      <c r="C423" s="348"/>
      <c r="D423" s="349"/>
      <c r="E423" s="348"/>
      <c r="F423" s="345"/>
      <c r="G423" s="346"/>
      <c r="H423" s="348">
        <f>SUM(H424:H426)</f>
        <v>0</v>
      </c>
      <c r="I423" s="345">
        <v>57</v>
      </c>
      <c r="J423" s="349">
        <v>228</v>
      </c>
      <c r="K423" s="325"/>
      <c r="L423" s="325">
        <f t="shared" si="26"/>
        <v>0</v>
      </c>
      <c r="O423" s="325"/>
      <c r="P423" s="363"/>
      <c r="Q423" s="363"/>
      <c r="R423" s="364"/>
    </row>
    <row r="424" ht="16.5" hidden="1" customHeight="1" spans="1:18">
      <c r="A424" s="347" t="s">
        <v>421</v>
      </c>
      <c r="B424" s="348"/>
      <c r="C424" s="348"/>
      <c r="D424" s="349"/>
      <c r="E424" s="348"/>
      <c r="F424" s="345"/>
      <c r="G424" s="346"/>
      <c r="H424" s="348"/>
      <c r="I424" s="345"/>
      <c r="J424" s="349"/>
      <c r="K424" s="325"/>
      <c r="L424" s="325">
        <f t="shared" si="26"/>
        <v>0</v>
      </c>
      <c r="O424" s="325"/>
      <c r="P424" s="363"/>
      <c r="Q424" s="363"/>
      <c r="R424" s="364"/>
    </row>
    <row r="425" ht="16.5" hidden="1" customHeight="1" spans="1:18">
      <c r="A425" s="347" t="s">
        <v>422</v>
      </c>
      <c r="B425" s="348"/>
      <c r="C425" s="348"/>
      <c r="D425" s="349"/>
      <c r="E425" s="348"/>
      <c r="F425" s="345"/>
      <c r="G425" s="346"/>
      <c r="H425" s="348"/>
      <c r="I425" s="345"/>
      <c r="J425" s="349"/>
      <c r="K425" s="325"/>
      <c r="L425" s="325">
        <f t="shared" si="26"/>
        <v>0</v>
      </c>
      <c r="O425" s="325"/>
      <c r="P425" s="363"/>
      <c r="Q425" s="363"/>
      <c r="R425" s="364"/>
    </row>
    <row r="426" ht="16.5" hidden="1" customHeight="1" spans="1:18">
      <c r="A426" s="347" t="s">
        <v>423</v>
      </c>
      <c r="B426" s="348"/>
      <c r="C426" s="348"/>
      <c r="D426" s="349"/>
      <c r="E426" s="348"/>
      <c r="F426" s="345"/>
      <c r="G426" s="346"/>
      <c r="H426" s="348"/>
      <c r="I426" s="345"/>
      <c r="J426" s="349"/>
      <c r="K426" s="325"/>
      <c r="L426" s="325">
        <f t="shared" si="26"/>
        <v>0</v>
      </c>
      <c r="O426" s="325"/>
      <c r="P426" s="363"/>
      <c r="Q426" s="363"/>
      <c r="R426" s="364"/>
    </row>
    <row r="427" s="326" customFormat="1" ht="16.5" customHeight="1" spans="1:18">
      <c r="A427" s="347" t="s">
        <v>424</v>
      </c>
      <c r="B427" s="348">
        <v>16723</v>
      </c>
      <c r="C427" s="348">
        <v>11124</v>
      </c>
      <c r="D427" s="349">
        <f>C427/B427*100</f>
        <v>66.5191652215512</v>
      </c>
      <c r="E427" s="348">
        <v>22505</v>
      </c>
      <c r="F427" s="345">
        <f>C427-E427</f>
        <v>-11381</v>
      </c>
      <c r="G427" s="346">
        <f>F427/E427*100</f>
        <v>-50.5709842257276</v>
      </c>
      <c r="H427" s="348">
        <f>SUM(H428:H431)</f>
        <v>17608.162937</v>
      </c>
      <c r="I427" s="345">
        <f t="shared" ref="I427:I433" si="27">H427-B427</f>
        <v>885.162937000001</v>
      </c>
      <c r="J427" s="349">
        <f>I427/B427*100</f>
        <v>5.29308698798063</v>
      </c>
      <c r="K427" s="325"/>
      <c r="L427" s="325">
        <f t="shared" si="26"/>
        <v>28732.162937</v>
      </c>
      <c r="O427" s="325"/>
      <c r="P427" s="363"/>
      <c r="Q427" s="363"/>
      <c r="R427" s="364"/>
    </row>
    <row r="428" s="326" customFormat="1" ht="16.5" hidden="1" customHeight="1" spans="1:16383">
      <c r="A428" s="347" t="s">
        <v>425</v>
      </c>
      <c r="B428" s="348"/>
      <c r="C428" s="348"/>
      <c r="D428" s="349"/>
      <c r="E428" s="348"/>
      <c r="F428" s="345"/>
      <c r="G428" s="346"/>
      <c r="H428" s="348">
        <v>0</v>
      </c>
      <c r="I428" s="345"/>
      <c r="J428" s="349"/>
      <c r="K428" s="325"/>
      <c r="L428" s="325">
        <f t="shared" si="26"/>
        <v>0</v>
      </c>
      <c r="O428" s="325"/>
      <c r="P428" s="363"/>
      <c r="Q428" s="363"/>
      <c r="R428" s="364"/>
      <c r="XFB428" s="332"/>
      <c r="XFC428" s="332"/>
    </row>
    <row r="429" s="326" customFormat="1" ht="16.5" hidden="1" customHeight="1" spans="1:16383">
      <c r="A429" s="347" t="s">
        <v>426</v>
      </c>
      <c r="B429" s="348"/>
      <c r="C429" s="348"/>
      <c r="D429" s="349"/>
      <c r="E429" s="348"/>
      <c r="F429" s="345"/>
      <c r="G429" s="346"/>
      <c r="H429" s="348">
        <v>0</v>
      </c>
      <c r="I429" s="345"/>
      <c r="J429" s="349"/>
      <c r="K429" s="325"/>
      <c r="L429" s="325">
        <f t="shared" si="26"/>
        <v>0</v>
      </c>
      <c r="O429" s="325"/>
      <c r="P429" s="363"/>
      <c r="Q429" s="363"/>
      <c r="R429" s="364"/>
      <c r="XFB429" s="332"/>
      <c r="XFC429" s="332"/>
    </row>
    <row r="430" s="326" customFormat="1" ht="16.5" hidden="1" customHeight="1" spans="1:16383">
      <c r="A430" s="347" t="s">
        <v>427</v>
      </c>
      <c r="B430" s="348"/>
      <c r="C430" s="348"/>
      <c r="D430" s="349"/>
      <c r="E430" s="348"/>
      <c r="F430" s="345"/>
      <c r="G430" s="346"/>
      <c r="H430" s="348">
        <v>0</v>
      </c>
      <c r="I430" s="345"/>
      <c r="J430" s="349"/>
      <c r="K430" s="325"/>
      <c r="L430" s="325">
        <f t="shared" si="26"/>
        <v>0</v>
      </c>
      <c r="O430" s="325"/>
      <c r="P430" s="363"/>
      <c r="Q430" s="363"/>
      <c r="R430" s="364"/>
      <c r="XFB430" s="332"/>
      <c r="XFC430" s="332"/>
    </row>
    <row r="431" s="326" customFormat="1" ht="16.5" customHeight="1" spans="1:18">
      <c r="A431" s="347" t="s">
        <v>428</v>
      </c>
      <c r="B431" s="348"/>
      <c r="C431" s="348"/>
      <c r="D431" s="349"/>
      <c r="E431" s="348"/>
      <c r="F431" s="345"/>
      <c r="G431" s="346"/>
      <c r="H431" s="348">
        <v>17608.162937</v>
      </c>
      <c r="I431" s="345">
        <f t="shared" si="27"/>
        <v>17608.162937</v>
      </c>
      <c r="J431" s="349"/>
      <c r="K431" s="325"/>
      <c r="L431" s="325">
        <f t="shared" si="26"/>
        <v>17608.162937</v>
      </c>
      <c r="O431" s="325"/>
      <c r="P431" s="363"/>
      <c r="Q431" s="363"/>
      <c r="R431" s="364"/>
    </row>
    <row r="432" s="325" customFormat="1" ht="16.5" customHeight="1" spans="1:18">
      <c r="A432" s="344" t="s">
        <v>429</v>
      </c>
      <c r="B432" s="345">
        <f>B433+B449+B457+B468+B477+B485</f>
        <v>12498</v>
      </c>
      <c r="C432" s="345">
        <f>C433+C449+C457+C468+C477+C485</f>
        <v>10307</v>
      </c>
      <c r="D432" s="349">
        <f>C432/B432*100</f>
        <v>82.4691950712114</v>
      </c>
      <c r="E432" s="345">
        <f>E433+E449+E457+E468+E477+E485</f>
        <v>11500</v>
      </c>
      <c r="F432" s="345">
        <f>C432-E432</f>
        <v>-1193</v>
      </c>
      <c r="G432" s="346">
        <f>F432/E432*100</f>
        <v>-10.3739130434783</v>
      </c>
      <c r="H432" s="345">
        <f>H433+H449+H457+H468+H477+H485</f>
        <v>8298.650197</v>
      </c>
      <c r="I432" s="345">
        <f t="shared" si="27"/>
        <v>-4199.349803</v>
      </c>
      <c r="J432" s="349">
        <f>I432/B432*100</f>
        <v>-33.6001744519123</v>
      </c>
      <c r="L432" s="325">
        <f t="shared" si="26"/>
        <v>18605.650197</v>
      </c>
      <c r="P432" s="362"/>
      <c r="Q432" s="362"/>
      <c r="R432" s="364"/>
    </row>
    <row r="433" s="326" customFormat="1" ht="16.5" customHeight="1" spans="1:18">
      <c r="A433" s="347" t="s">
        <v>430</v>
      </c>
      <c r="B433" s="348">
        <v>3264</v>
      </c>
      <c r="C433" s="348">
        <v>3596</v>
      </c>
      <c r="D433" s="349">
        <f>C433/B433*100</f>
        <v>110.171568627451</v>
      </c>
      <c r="E433" s="348">
        <v>4968</v>
      </c>
      <c r="F433" s="345">
        <f>C433-E433</f>
        <v>-1372</v>
      </c>
      <c r="G433" s="346">
        <f>F433/E433*100</f>
        <v>-27.6167471819646</v>
      </c>
      <c r="H433" s="348">
        <f>SUM(H434:H448)</f>
        <v>3243.083445</v>
      </c>
      <c r="I433" s="345">
        <f t="shared" si="27"/>
        <v>-20.9165549999998</v>
      </c>
      <c r="J433" s="349">
        <f>I433/B433*100</f>
        <v>-0.640825827205876</v>
      </c>
      <c r="K433" s="325"/>
      <c r="L433" s="325">
        <f t="shared" si="26"/>
        <v>6839.083445</v>
      </c>
      <c r="O433" s="325"/>
      <c r="P433" s="363"/>
      <c r="Q433" s="363"/>
      <c r="R433" s="364"/>
    </row>
    <row r="434" ht="16.5" customHeight="1" spans="1:18">
      <c r="A434" s="347" t="s">
        <v>155</v>
      </c>
      <c r="B434" s="348"/>
      <c r="C434" s="348"/>
      <c r="D434" s="349"/>
      <c r="E434" s="348"/>
      <c r="F434" s="345"/>
      <c r="G434" s="346"/>
      <c r="H434" s="348">
        <v>713.827534</v>
      </c>
      <c r="I434" s="345"/>
      <c r="J434" s="349"/>
      <c r="K434" s="325"/>
      <c r="L434" s="325">
        <f t="shared" si="26"/>
        <v>713.827534</v>
      </c>
      <c r="O434" s="325"/>
      <c r="P434" s="363"/>
      <c r="Q434" s="363"/>
      <c r="R434" s="364"/>
    </row>
    <row r="435" ht="16.5" hidden="1" customHeight="1" spans="1:18">
      <c r="A435" s="347" t="s">
        <v>156</v>
      </c>
      <c r="B435" s="348"/>
      <c r="C435" s="348"/>
      <c r="D435" s="349"/>
      <c r="E435" s="348"/>
      <c r="F435" s="345"/>
      <c r="G435" s="346"/>
      <c r="H435" s="348">
        <v>0</v>
      </c>
      <c r="I435" s="345"/>
      <c r="J435" s="349"/>
      <c r="K435" s="325"/>
      <c r="L435" s="325">
        <f t="shared" si="26"/>
        <v>0</v>
      </c>
      <c r="O435" s="325"/>
      <c r="P435" s="363"/>
      <c r="Q435" s="363"/>
      <c r="R435" s="364"/>
    </row>
    <row r="436" ht="16.5" hidden="1" customHeight="1" spans="1:18">
      <c r="A436" s="347" t="s">
        <v>157</v>
      </c>
      <c r="B436" s="348"/>
      <c r="C436" s="348"/>
      <c r="D436" s="349"/>
      <c r="E436" s="348"/>
      <c r="F436" s="345"/>
      <c r="G436" s="346"/>
      <c r="H436" s="348">
        <v>0</v>
      </c>
      <c r="I436" s="345"/>
      <c r="J436" s="349"/>
      <c r="K436" s="325"/>
      <c r="L436" s="325">
        <f t="shared" si="26"/>
        <v>0</v>
      </c>
      <c r="O436" s="325"/>
      <c r="P436" s="363"/>
      <c r="Q436" s="363"/>
      <c r="R436" s="364"/>
    </row>
    <row r="437" ht="16.5" customHeight="1" spans="1:18">
      <c r="A437" s="347" t="s">
        <v>431</v>
      </c>
      <c r="B437" s="348"/>
      <c r="C437" s="348"/>
      <c r="D437" s="349"/>
      <c r="E437" s="348"/>
      <c r="F437" s="345"/>
      <c r="G437" s="346"/>
      <c r="H437" s="348">
        <v>928.563872</v>
      </c>
      <c r="I437" s="345"/>
      <c r="J437" s="349"/>
      <c r="K437" s="325"/>
      <c r="L437" s="325">
        <f t="shared" si="26"/>
        <v>928.563872</v>
      </c>
      <c r="O437" s="325"/>
      <c r="P437" s="363"/>
      <c r="Q437" s="363"/>
      <c r="R437" s="364"/>
    </row>
    <row r="438" ht="16.5" hidden="1" customHeight="1" spans="1:18">
      <c r="A438" s="347" t="s">
        <v>432</v>
      </c>
      <c r="B438" s="348"/>
      <c r="C438" s="348"/>
      <c r="D438" s="349"/>
      <c r="E438" s="348"/>
      <c r="F438" s="345"/>
      <c r="G438" s="346"/>
      <c r="H438" s="348">
        <v>0</v>
      </c>
      <c r="I438" s="345"/>
      <c r="J438" s="349"/>
      <c r="K438" s="325"/>
      <c r="L438" s="325">
        <f t="shared" si="26"/>
        <v>0</v>
      </c>
      <c r="O438" s="325"/>
      <c r="P438" s="363"/>
      <c r="Q438" s="363"/>
      <c r="R438" s="364"/>
    </row>
    <row r="439" ht="16.5" hidden="1" customHeight="1" spans="1:18">
      <c r="A439" s="347" t="s">
        <v>433</v>
      </c>
      <c r="B439" s="348"/>
      <c r="C439" s="348"/>
      <c r="D439" s="349"/>
      <c r="E439" s="348"/>
      <c r="F439" s="345"/>
      <c r="G439" s="346"/>
      <c r="H439" s="348">
        <v>0</v>
      </c>
      <c r="I439" s="345"/>
      <c r="J439" s="349"/>
      <c r="K439" s="325"/>
      <c r="L439" s="325">
        <f t="shared" si="26"/>
        <v>0</v>
      </c>
      <c r="O439" s="325"/>
      <c r="P439" s="363"/>
      <c r="Q439" s="363"/>
      <c r="R439" s="364"/>
    </row>
    <row r="440" ht="16.5" hidden="1" customHeight="1" spans="1:18">
      <c r="A440" s="347" t="s">
        <v>434</v>
      </c>
      <c r="B440" s="348"/>
      <c r="C440" s="348"/>
      <c r="D440" s="349"/>
      <c r="E440" s="348"/>
      <c r="F440" s="345"/>
      <c r="G440" s="346"/>
      <c r="H440" s="348">
        <v>0</v>
      </c>
      <c r="I440" s="345"/>
      <c r="J440" s="349"/>
      <c r="K440" s="325"/>
      <c r="L440" s="325">
        <f t="shared" si="26"/>
        <v>0</v>
      </c>
      <c r="O440" s="325"/>
      <c r="P440" s="363"/>
      <c r="Q440" s="363"/>
      <c r="R440" s="364"/>
    </row>
    <row r="441" ht="16.5" hidden="1" customHeight="1" spans="1:18">
      <c r="A441" s="347" t="s">
        <v>435</v>
      </c>
      <c r="B441" s="348"/>
      <c r="C441" s="348"/>
      <c r="D441" s="349"/>
      <c r="E441" s="348"/>
      <c r="F441" s="345"/>
      <c r="G441" s="346"/>
      <c r="H441" s="348">
        <v>0</v>
      </c>
      <c r="I441" s="345"/>
      <c r="J441" s="349"/>
      <c r="K441" s="325"/>
      <c r="L441" s="325">
        <f t="shared" si="26"/>
        <v>0</v>
      </c>
      <c r="O441" s="325"/>
      <c r="P441" s="363"/>
      <c r="Q441" s="363"/>
      <c r="R441" s="364"/>
    </row>
    <row r="442" ht="16.5" customHeight="1" spans="1:18">
      <c r="A442" s="347" t="s">
        <v>436</v>
      </c>
      <c r="B442" s="348"/>
      <c r="C442" s="348"/>
      <c r="D442" s="349"/>
      <c r="E442" s="348"/>
      <c r="F442" s="345"/>
      <c r="G442" s="346"/>
      <c r="H442" s="348">
        <v>469.570828</v>
      </c>
      <c r="I442" s="345"/>
      <c r="J442" s="349"/>
      <c r="K442" s="325"/>
      <c r="L442" s="325">
        <f t="shared" si="26"/>
        <v>469.570828</v>
      </c>
      <c r="O442" s="325"/>
      <c r="P442" s="363"/>
      <c r="Q442" s="363"/>
      <c r="R442" s="364"/>
    </row>
    <row r="443" ht="16.5" hidden="1" customHeight="1" spans="1:18">
      <c r="A443" s="347" t="s">
        <v>437</v>
      </c>
      <c r="B443" s="348"/>
      <c r="C443" s="348"/>
      <c r="D443" s="349"/>
      <c r="E443" s="348"/>
      <c r="F443" s="345"/>
      <c r="G443" s="346"/>
      <c r="H443" s="348">
        <v>0</v>
      </c>
      <c r="I443" s="345"/>
      <c r="J443" s="349"/>
      <c r="K443" s="325"/>
      <c r="L443" s="325">
        <f t="shared" si="26"/>
        <v>0</v>
      </c>
      <c r="O443" s="325"/>
      <c r="P443" s="363"/>
      <c r="Q443" s="363"/>
      <c r="R443" s="364"/>
    </row>
    <row r="444" ht="16.5" hidden="1" customHeight="1" spans="1:18">
      <c r="A444" s="347" t="s">
        <v>438</v>
      </c>
      <c r="B444" s="348"/>
      <c r="C444" s="348"/>
      <c r="D444" s="349"/>
      <c r="E444" s="348"/>
      <c r="F444" s="345"/>
      <c r="G444" s="346"/>
      <c r="H444" s="348">
        <v>0</v>
      </c>
      <c r="I444" s="345"/>
      <c r="J444" s="349"/>
      <c r="K444" s="325"/>
      <c r="L444" s="325">
        <f t="shared" si="26"/>
        <v>0</v>
      </c>
      <c r="O444" s="325"/>
      <c r="P444" s="363"/>
      <c r="Q444" s="363"/>
      <c r="R444" s="364"/>
    </row>
    <row r="445" ht="16.5" customHeight="1" spans="1:18">
      <c r="A445" s="347" t="s">
        <v>439</v>
      </c>
      <c r="B445" s="348"/>
      <c r="C445" s="348"/>
      <c r="D445" s="349"/>
      <c r="E445" s="348"/>
      <c r="F445" s="345"/>
      <c r="G445" s="346"/>
      <c r="H445" s="348">
        <v>614.821211</v>
      </c>
      <c r="I445" s="345"/>
      <c r="J445" s="349"/>
      <c r="K445" s="325"/>
      <c r="L445" s="325">
        <f t="shared" si="26"/>
        <v>614.821211</v>
      </c>
      <c r="O445" s="325"/>
      <c r="P445" s="363"/>
      <c r="Q445" s="363"/>
      <c r="R445" s="364"/>
    </row>
    <row r="446" ht="16.5" hidden="1" customHeight="1" spans="1:18">
      <c r="A446" s="347" t="s">
        <v>440</v>
      </c>
      <c r="B446" s="348"/>
      <c r="C446" s="348"/>
      <c r="D446" s="349"/>
      <c r="E446" s="348"/>
      <c r="F446" s="345"/>
      <c r="G446" s="346"/>
      <c r="H446" s="348">
        <v>0</v>
      </c>
      <c r="I446" s="345"/>
      <c r="J446" s="349"/>
      <c r="K446" s="325"/>
      <c r="L446" s="325">
        <f t="shared" si="26"/>
        <v>0</v>
      </c>
      <c r="O446" s="325"/>
      <c r="P446" s="363"/>
      <c r="Q446" s="363"/>
      <c r="R446" s="364"/>
    </row>
    <row r="447" ht="16.5" hidden="1" customHeight="1" spans="1:18">
      <c r="A447" s="347" t="s">
        <v>441</v>
      </c>
      <c r="B447" s="348"/>
      <c r="C447" s="348"/>
      <c r="D447" s="349"/>
      <c r="E447" s="348"/>
      <c r="F447" s="345"/>
      <c r="G447" s="346"/>
      <c r="H447" s="348">
        <v>0</v>
      </c>
      <c r="I447" s="345"/>
      <c r="J447" s="349"/>
      <c r="K447" s="325"/>
      <c r="L447" s="325">
        <f t="shared" si="26"/>
        <v>0</v>
      </c>
      <c r="O447" s="325"/>
      <c r="P447" s="363"/>
      <c r="Q447" s="363"/>
      <c r="R447" s="364"/>
    </row>
    <row r="448" ht="16.5" customHeight="1" spans="1:18">
      <c r="A448" s="347" t="s">
        <v>442</v>
      </c>
      <c r="B448" s="348"/>
      <c r="C448" s="348"/>
      <c r="D448" s="349"/>
      <c r="E448" s="348"/>
      <c r="F448" s="345"/>
      <c r="G448" s="346"/>
      <c r="H448" s="348">
        <v>516.3</v>
      </c>
      <c r="I448" s="345"/>
      <c r="J448" s="349"/>
      <c r="K448" s="325"/>
      <c r="L448" s="325">
        <f t="shared" si="26"/>
        <v>516.3</v>
      </c>
      <c r="O448" s="325"/>
      <c r="P448" s="363"/>
      <c r="Q448" s="363"/>
      <c r="R448" s="364"/>
    </row>
    <row r="449" s="326" customFormat="1" ht="16.5" customHeight="1" spans="1:18">
      <c r="A449" s="347" t="s">
        <v>443</v>
      </c>
      <c r="B449" s="348">
        <v>1389</v>
      </c>
      <c r="C449" s="348">
        <v>866</v>
      </c>
      <c r="D449" s="349">
        <f>C449/B449*100</f>
        <v>62.3470122390209</v>
      </c>
      <c r="E449" s="348">
        <v>782</v>
      </c>
      <c r="F449" s="345">
        <f>C449-E449</f>
        <v>84</v>
      </c>
      <c r="G449" s="346">
        <f>F449/E449*100</f>
        <v>10.7416879795396</v>
      </c>
      <c r="H449" s="348">
        <f>SUM(H450:H456)</f>
        <v>867.029762</v>
      </c>
      <c r="I449" s="345">
        <f>H449-B449</f>
        <v>-521.970238</v>
      </c>
      <c r="J449" s="349">
        <f>I449/B449*100</f>
        <v>-37.5788508279338</v>
      </c>
      <c r="K449" s="325"/>
      <c r="L449" s="325">
        <f t="shared" si="26"/>
        <v>1733.029762</v>
      </c>
      <c r="O449" s="325"/>
      <c r="P449" s="363"/>
      <c r="Q449" s="363"/>
      <c r="R449" s="364"/>
    </row>
    <row r="450" ht="16.5" hidden="1" customHeight="1" spans="1:18">
      <c r="A450" s="347" t="s">
        <v>155</v>
      </c>
      <c r="B450" s="348"/>
      <c r="C450" s="348"/>
      <c r="D450" s="349"/>
      <c r="E450" s="348"/>
      <c r="F450" s="345"/>
      <c r="G450" s="346"/>
      <c r="H450" s="348">
        <v>0</v>
      </c>
      <c r="I450" s="345"/>
      <c r="J450" s="349"/>
      <c r="K450" s="325"/>
      <c r="L450" s="325">
        <f t="shared" si="26"/>
        <v>0</v>
      </c>
      <c r="O450" s="325"/>
      <c r="P450" s="363"/>
      <c r="Q450" s="363"/>
      <c r="R450" s="364"/>
    </row>
    <row r="451" ht="16.5" hidden="1" customHeight="1" spans="1:18">
      <c r="A451" s="347" t="s">
        <v>156</v>
      </c>
      <c r="B451" s="348"/>
      <c r="C451" s="348"/>
      <c r="D451" s="349"/>
      <c r="E451" s="348"/>
      <c r="F451" s="345"/>
      <c r="G451" s="346"/>
      <c r="H451" s="348">
        <v>0</v>
      </c>
      <c r="I451" s="345"/>
      <c r="J451" s="349"/>
      <c r="K451" s="325"/>
      <c r="L451" s="325">
        <f t="shared" si="26"/>
        <v>0</v>
      </c>
      <c r="O451" s="325"/>
      <c r="P451" s="363"/>
      <c r="Q451" s="363"/>
      <c r="R451" s="364"/>
    </row>
    <row r="452" ht="16.5" hidden="1" customHeight="1" spans="1:18">
      <c r="A452" s="347" t="s">
        <v>157</v>
      </c>
      <c r="B452" s="348"/>
      <c r="C452" s="348"/>
      <c r="D452" s="349"/>
      <c r="E452" s="348"/>
      <c r="F452" s="345"/>
      <c r="G452" s="346"/>
      <c r="H452" s="348">
        <v>0</v>
      </c>
      <c r="I452" s="345"/>
      <c r="J452" s="349"/>
      <c r="K452" s="325"/>
      <c r="L452" s="325">
        <f t="shared" si="26"/>
        <v>0</v>
      </c>
      <c r="O452" s="325"/>
      <c r="P452" s="363"/>
      <c r="Q452" s="363"/>
      <c r="R452" s="364"/>
    </row>
    <row r="453" ht="16.5" hidden="1" customHeight="1" spans="1:18">
      <c r="A453" s="347" t="s">
        <v>444</v>
      </c>
      <c r="B453" s="348"/>
      <c r="C453" s="348"/>
      <c r="D453" s="349"/>
      <c r="E453" s="348"/>
      <c r="F453" s="345"/>
      <c r="G453" s="346"/>
      <c r="H453" s="348">
        <v>0</v>
      </c>
      <c r="I453" s="345"/>
      <c r="J453" s="349"/>
      <c r="K453" s="325"/>
      <c r="L453" s="325">
        <f t="shared" si="26"/>
        <v>0</v>
      </c>
      <c r="O453" s="325"/>
      <c r="P453" s="363"/>
      <c r="Q453" s="363"/>
      <c r="R453" s="364"/>
    </row>
    <row r="454" ht="16.5" customHeight="1" spans="1:18">
      <c r="A454" s="347" t="s">
        <v>445</v>
      </c>
      <c r="B454" s="348"/>
      <c r="C454" s="348"/>
      <c r="D454" s="349"/>
      <c r="E454" s="348"/>
      <c r="F454" s="345"/>
      <c r="G454" s="346"/>
      <c r="H454" s="348">
        <v>867.029762</v>
      </c>
      <c r="I454" s="345"/>
      <c r="J454" s="349"/>
      <c r="K454" s="325"/>
      <c r="L454" s="325">
        <f t="shared" si="26"/>
        <v>867.029762</v>
      </c>
      <c r="O454" s="325"/>
      <c r="P454" s="363"/>
      <c r="Q454" s="363"/>
      <c r="R454" s="364"/>
    </row>
    <row r="455" ht="16.5" hidden="1" customHeight="1" spans="1:18">
      <c r="A455" s="347" t="s">
        <v>446</v>
      </c>
      <c r="B455" s="348"/>
      <c r="C455" s="348"/>
      <c r="D455" s="349"/>
      <c r="E455" s="348"/>
      <c r="F455" s="345"/>
      <c r="G455" s="346"/>
      <c r="H455" s="348">
        <v>0</v>
      </c>
      <c r="I455" s="345"/>
      <c r="J455" s="349"/>
      <c r="K455" s="325"/>
      <c r="L455" s="325">
        <f t="shared" si="26"/>
        <v>0</v>
      </c>
      <c r="O455" s="325"/>
      <c r="P455" s="363"/>
      <c r="Q455" s="363"/>
      <c r="R455" s="364"/>
    </row>
    <row r="456" ht="16.5" hidden="1" customHeight="1" spans="1:18">
      <c r="A456" s="347" t="s">
        <v>447</v>
      </c>
      <c r="B456" s="348"/>
      <c r="C456" s="348"/>
      <c r="D456" s="349"/>
      <c r="E456" s="348"/>
      <c r="F456" s="345"/>
      <c r="G456" s="346"/>
      <c r="H456" s="348">
        <v>0</v>
      </c>
      <c r="I456" s="345"/>
      <c r="J456" s="349"/>
      <c r="K456" s="325"/>
      <c r="L456" s="325">
        <f t="shared" ref="L456:L519" si="28">C456+H456</f>
        <v>0</v>
      </c>
      <c r="O456" s="325"/>
      <c r="P456" s="363"/>
      <c r="Q456" s="363"/>
      <c r="R456" s="364"/>
    </row>
    <row r="457" s="326" customFormat="1" ht="16.5" customHeight="1" spans="1:18">
      <c r="A457" s="347" t="s">
        <v>448</v>
      </c>
      <c r="B457" s="348">
        <v>1093</v>
      </c>
      <c r="C457" s="348">
        <v>1354</v>
      </c>
      <c r="D457" s="349">
        <f>C457/B457*100</f>
        <v>123.87923147301</v>
      </c>
      <c r="E457" s="348">
        <v>2147</v>
      </c>
      <c r="F457" s="345">
        <f>C457-E457</f>
        <v>-793</v>
      </c>
      <c r="G457" s="346">
        <f>F457/E457*100</f>
        <v>-36.9352585002329</v>
      </c>
      <c r="H457" s="348">
        <f>SUM(H458:H467)</f>
        <v>1115.384008</v>
      </c>
      <c r="I457" s="345">
        <f>H457-B457</f>
        <v>22.384008</v>
      </c>
      <c r="J457" s="349">
        <f>I457/B457*100</f>
        <v>2.04794217749314</v>
      </c>
      <c r="K457" s="325"/>
      <c r="L457" s="325">
        <f t="shared" si="28"/>
        <v>2469.384008</v>
      </c>
      <c r="O457" s="325"/>
      <c r="P457" s="363"/>
      <c r="Q457" s="363"/>
      <c r="R457" s="364"/>
    </row>
    <row r="458" ht="16.5" hidden="1" customHeight="1" spans="1:18">
      <c r="A458" s="347" t="s">
        <v>155</v>
      </c>
      <c r="B458" s="348"/>
      <c r="C458" s="348"/>
      <c r="D458" s="349"/>
      <c r="E458" s="348"/>
      <c r="F458" s="345"/>
      <c r="G458" s="346"/>
      <c r="H458" s="348">
        <v>0</v>
      </c>
      <c r="I458" s="345"/>
      <c r="J458" s="349"/>
      <c r="K458" s="325"/>
      <c r="L458" s="325">
        <f t="shared" si="28"/>
        <v>0</v>
      </c>
      <c r="O458" s="325"/>
      <c r="P458" s="363"/>
      <c r="Q458" s="363"/>
      <c r="R458" s="364"/>
    </row>
    <row r="459" ht="16.5" hidden="1" customHeight="1" spans="1:18">
      <c r="A459" s="347" t="s">
        <v>156</v>
      </c>
      <c r="B459" s="348"/>
      <c r="C459" s="348"/>
      <c r="D459" s="349"/>
      <c r="E459" s="348"/>
      <c r="F459" s="345"/>
      <c r="G459" s="346"/>
      <c r="H459" s="348">
        <v>0</v>
      </c>
      <c r="I459" s="345"/>
      <c r="J459" s="349"/>
      <c r="K459" s="325"/>
      <c r="L459" s="325">
        <f t="shared" si="28"/>
        <v>0</v>
      </c>
      <c r="O459" s="325"/>
      <c r="P459" s="363"/>
      <c r="Q459" s="363"/>
      <c r="R459" s="364"/>
    </row>
    <row r="460" ht="16.5" hidden="1" customHeight="1" spans="1:18">
      <c r="A460" s="347" t="s">
        <v>157</v>
      </c>
      <c r="B460" s="348"/>
      <c r="C460" s="348"/>
      <c r="D460" s="349"/>
      <c r="E460" s="348"/>
      <c r="F460" s="345"/>
      <c r="G460" s="346"/>
      <c r="H460" s="348">
        <v>0</v>
      </c>
      <c r="I460" s="345"/>
      <c r="J460" s="349"/>
      <c r="K460" s="325"/>
      <c r="L460" s="325">
        <f t="shared" si="28"/>
        <v>0</v>
      </c>
      <c r="O460" s="325"/>
      <c r="P460" s="363"/>
      <c r="Q460" s="363"/>
      <c r="R460" s="364"/>
    </row>
    <row r="461" ht="16.5" hidden="1" customHeight="1" spans="1:18">
      <c r="A461" s="347" t="s">
        <v>449</v>
      </c>
      <c r="B461" s="348"/>
      <c r="C461" s="348"/>
      <c r="D461" s="349"/>
      <c r="E461" s="348"/>
      <c r="F461" s="345"/>
      <c r="G461" s="346"/>
      <c r="H461" s="348">
        <v>0</v>
      </c>
      <c r="I461" s="345"/>
      <c r="J461" s="349"/>
      <c r="K461" s="325"/>
      <c r="L461" s="325">
        <f t="shared" si="28"/>
        <v>0</v>
      </c>
      <c r="O461" s="325"/>
      <c r="P461" s="363"/>
      <c r="Q461" s="363"/>
      <c r="R461" s="364"/>
    </row>
    <row r="462" ht="16.5" hidden="1" customHeight="1" spans="1:18">
      <c r="A462" s="347" t="s">
        <v>450</v>
      </c>
      <c r="B462" s="348"/>
      <c r="C462" s="348"/>
      <c r="D462" s="349"/>
      <c r="E462" s="348"/>
      <c r="F462" s="345"/>
      <c r="G462" s="346"/>
      <c r="H462" s="348">
        <v>0</v>
      </c>
      <c r="I462" s="345"/>
      <c r="J462" s="349"/>
      <c r="K462" s="325"/>
      <c r="L462" s="325">
        <f t="shared" si="28"/>
        <v>0</v>
      </c>
      <c r="O462" s="325"/>
      <c r="P462" s="363"/>
      <c r="Q462" s="363"/>
      <c r="R462" s="364"/>
    </row>
    <row r="463" ht="16.5" hidden="1" customHeight="1" spans="1:18">
      <c r="A463" s="347" t="s">
        <v>451</v>
      </c>
      <c r="B463" s="348"/>
      <c r="C463" s="348"/>
      <c r="D463" s="349"/>
      <c r="E463" s="348"/>
      <c r="F463" s="345"/>
      <c r="G463" s="346"/>
      <c r="H463" s="348">
        <v>0</v>
      </c>
      <c r="I463" s="345"/>
      <c r="J463" s="349"/>
      <c r="K463" s="325"/>
      <c r="L463" s="325">
        <f t="shared" si="28"/>
        <v>0</v>
      </c>
      <c r="O463" s="325"/>
      <c r="P463" s="363"/>
      <c r="Q463" s="363"/>
      <c r="R463" s="364"/>
    </row>
    <row r="464" ht="16.5" customHeight="1" spans="1:18">
      <c r="A464" s="347" t="s">
        <v>452</v>
      </c>
      <c r="B464" s="348"/>
      <c r="C464" s="348"/>
      <c r="D464" s="349"/>
      <c r="E464" s="348"/>
      <c r="F464" s="345"/>
      <c r="G464" s="346"/>
      <c r="H464" s="348">
        <v>497.593118</v>
      </c>
      <c r="I464" s="345"/>
      <c r="J464" s="349"/>
      <c r="K464" s="325"/>
      <c r="L464" s="325">
        <f t="shared" si="28"/>
        <v>497.593118</v>
      </c>
      <c r="O464" s="325"/>
      <c r="P464" s="363"/>
      <c r="Q464" s="363"/>
      <c r="R464" s="364"/>
    </row>
    <row r="465" ht="16.5" customHeight="1" spans="1:18">
      <c r="A465" s="347" t="s">
        <v>453</v>
      </c>
      <c r="B465" s="348"/>
      <c r="C465" s="348"/>
      <c r="D465" s="349"/>
      <c r="E465" s="348"/>
      <c r="F465" s="345"/>
      <c r="G465" s="346"/>
      <c r="H465" s="348">
        <v>575.55789</v>
      </c>
      <c r="I465" s="345"/>
      <c r="J465" s="349"/>
      <c r="K465" s="325"/>
      <c r="L465" s="325">
        <f t="shared" si="28"/>
        <v>575.55789</v>
      </c>
      <c r="O465" s="325"/>
      <c r="P465" s="363"/>
      <c r="Q465" s="363"/>
      <c r="R465" s="364"/>
    </row>
    <row r="466" ht="16.5" hidden="1" customHeight="1" spans="1:18">
      <c r="A466" s="347" t="s">
        <v>454</v>
      </c>
      <c r="B466" s="348"/>
      <c r="C466" s="348"/>
      <c r="D466" s="349"/>
      <c r="E466" s="348"/>
      <c r="F466" s="345"/>
      <c r="G466" s="346"/>
      <c r="H466" s="348">
        <v>0</v>
      </c>
      <c r="I466" s="345"/>
      <c r="J466" s="349"/>
      <c r="K466" s="325"/>
      <c r="L466" s="325">
        <f t="shared" si="28"/>
        <v>0</v>
      </c>
      <c r="O466" s="325"/>
      <c r="P466" s="363"/>
      <c r="Q466" s="363"/>
      <c r="R466" s="364"/>
    </row>
    <row r="467" ht="16.5" customHeight="1" spans="1:18">
      <c r="A467" s="347" t="s">
        <v>455</v>
      </c>
      <c r="B467" s="348"/>
      <c r="C467" s="348"/>
      <c r="D467" s="349"/>
      <c r="E467" s="348"/>
      <c r="F467" s="345"/>
      <c r="G467" s="346"/>
      <c r="H467" s="348">
        <v>42.233</v>
      </c>
      <c r="I467" s="345"/>
      <c r="J467" s="349"/>
      <c r="K467" s="325"/>
      <c r="L467" s="325">
        <f t="shared" si="28"/>
        <v>42.233</v>
      </c>
      <c r="O467" s="325"/>
      <c r="P467" s="363"/>
      <c r="Q467" s="363"/>
      <c r="R467" s="364"/>
    </row>
    <row r="468" s="326" customFormat="1" ht="16.5" customHeight="1" spans="1:18">
      <c r="A468" s="347" t="s">
        <v>456</v>
      </c>
      <c r="B468" s="348">
        <v>325</v>
      </c>
      <c r="C468" s="348">
        <v>350</v>
      </c>
      <c r="D468" s="349">
        <f>C468/B468*100</f>
        <v>107.692307692308</v>
      </c>
      <c r="E468" s="348">
        <v>437</v>
      </c>
      <c r="F468" s="345">
        <f>C468-E468</f>
        <v>-87</v>
      </c>
      <c r="G468" s="346">
        <f>F468/E468*100</f>
        <v>-19.908466819222</v>
      </c>
      <c r="H468" s="348">
        <f>SUM(H469:H476)</f>
        <v>316.802604</v>
      </c>
      <c r="I468" s="345">
        <f>H468-B468</f>
        <v>-8.19739600000003</v>
      </c>
      <c r="J468" s="349">
        <f>I468/B468*100</f>
        <v>-2.5222756923077</v>
      </c>
      <c r="K468" s="325"/>
      <c r="L468" s="325">
        <f t="shared" si="28"/>
        <v>666.802604</v>
      </c>
      <c r="O468" s="325"/>
      <c r="P468" s="363"/>
      <c r="Q468" s="363"/>
      <c r="R468" s="364"/>
    </row>
    <row r="469" ht="16.5" hidden="1" customHeight="1" spans="1:18">
      <c r="A469" s="347" t="s">
        <v>155</v>
      </c>
      <c r="B469" s="348"/>
      <c r="C469" s="348"/>
      <c r="D469" s="349"/>
      <c r="E469" s="348"/>
      <c r="F469" s="345"/>
      <c r="G469" s="346"/>
      <c r="H469" s="348">
        <v>0</v>
      </c>
      <c r="I469" s="345"/>
      <c r="J469" s="349"/>
      <c r="K469" s="325"/>
      <c r="L469" s="325">
        <f t="shared" si="28"/>
        <v>0</v>
      </c>
      <c r="O469" s="325"/>
      <c r="P469" s="363"/>
      <c r="Q469" s="363"/>
      <c r="R469" s="364"/>
    </row>
    <row r="470" ht="16.5" hidden="1" customHeight="1" spans="1:18">
      <c r="A470" s="347" t="s">
        <v>156</v>
      </c>
      <c r="B470" s="348"/>
      <c r="C470" s="348"/>
      <c r="D470" s="349"/>
      <c r="E470" s="348"/>
      <c r="F470" s="345"/>
      <c r="G470" s="346"/>
      <c r="H470" s="348">
        <v>0</v>
      </c>
      <c r="I470" s="345"/>
      <c r="J470" s="349"/>
      <c r="K470" s="325"/>
      <c r="L470" s="325">
        <f t="shared" si="28"/>
        <v>0</v>
      </c>
      <c r="O470" s="325"/>
      <c r="P470" s="363"/>
      <c r="Q470" s="363"/>
      <c r="R470" s="364"/>
    </row>
    <row r="471" ht="16.5" hidden="1" customHeight="1" spans="1:18">
      <c r="A471" s="347" t="s">
        <v>157</v>
      </c>
      <c r="B471" s="348"/>
      <c r="C471" s="348"/>
      <c r="D471" s="349"/>
      <c r="E471" s="348"/>
      <c r="F471" s="345"/>
      <c r="G471" s="346"/>
      <c r="H471" s="348">
        <v>0</v>
      </c>
      <c r="I471" s="345"/>
      <c r="J471" s="349"/>
      <c r="K471" s="325"/>
      <c r="L471" s="325">
        <f t="shared" si="28"/>
        <v>0</v>
      </c>
      <c r="O471" s="325"/>
      <c r="P471" s="363"/>
      <c r="Q471" s="363"/>
      <c r="R471" s="364"/>
    </row>
    <row r="472" ht="16.5" hidden="1" customHeight="1" spans="1:18">
      <c r="A472" s="347" t="s">
        <v>457</v>
      </c>
      <c r="B472" s="348"/>
      <c r="C472" s="348"/>
      <c r="D472" s="349"/>
      <c r="E472" s="348"/>
      <c r="F472" s="345"/>
      <c r="G472" s="346"/>
      <c r="H472" s="348">
        <v>0</v>
      </c>
      <c r="I472" s="345"/>
      <c r="J472" s="349"/>
      <c r="K472" s="325"/>
      <c r="L472" s="325">
        <f t="shared" si="28"/>
        <v>0</v>
      </c>
      <c r="O472" s="325"/>
      <c r="P472" s="363"/>
      <c r="Q472" s="363"/>
      <c r="R472" s="364"/>
    </row>
    <row r="473" ht="16.5" customHeight="1" spans="1:18">
      <c r="A473" s="347" t="s">
        <v>458</v>
      </c>
      <c r="B473" s="348"/>
      <c r="C473" s="348"/>
      <c r="D473" s="349"/>
      <c r="E473" s="348"/>
      <c r="F473" s="345"/>
      <c r="G473" s="346"/>
      <c r="H473" s="348">
        <v>232.72816</v>
      </c>
      <c r="I473" s="345"/>
      <c r="J473" s="349"/>
      <c r="K473" s="325"/>
      <c r="L473" s="325">
        <f t="shared" si="28"/>
        <v>232.72816</v>
      </c>
      <c r="O473" s="325"/>
      <c r="P473" s="363"/>
      <c r="Q473" s="363"/>
      <c r="R473" s="364"/>
    </row>
    <row r="474" ht="16.5" hidden="1" customHeight="1" spans="1:18">
      <c r="A474" s="347" t="s">
        <v>459</v>
      </c>
      <c r="B474" s="348"/>
      <c r="C474" s="348"/>
      <c r="D474" s="349"/>
      <c r="E474" s="348"/>
      <c r="F474" s="345"/>
      <c r="G474" s="346"/>
      <c r="H474" s="348">
        <v>0</v>
      </c>
      <c r="I474" s="345"/>
      <c r="J474" s="349"/>
      <c r="K474" s="325"/>
      <c r="L474" s="325">
        <f t="shared" si="28"/>
        <v>0</v>
      </c>
      <c r="O474" s="325"/>
      <c r="P474" s="363"/>
      <c r="Q474" s="363"/>
      <c r="R474" s="364"/>
    </row>
    <row r="475" ht="16.5" hidden="1" customHeight="1" spans="1:18">
      <c r="A475" s="347" t="s">
        <v>460</v>
      </c>
      <c r="B475" s="348"/>
      <c r="C475" s="348"/>
      <c r="D475" s="349"/>
      <c r="E475" s="348"/>
      <c r="F475" s="345"/>
      <c r="G475" s="346"/>
      <c r="H475" s="348">
        <v>0</v>
      </c>
      <c r="I475" s="345"/>
      <c r="J475" s="349"/>
      <c r="K475" s="325"/>
      <c r="L475" s="325">
        <f t="shared" si="28"/>
        <v>0</v>
      </c>
      <c r="O475" s="325"/>
      <c r="P475" s="363"/>
      <c r="Q475" s="363"/>
      <c r="R475" s="364"/>
    </row>
    <row r="476" ht="16.5" customHeight="1" spans="1:18">
      <c r="A476" s="347" t="s">
        <v>461</v>
      </c>
      <c r="B476" s="348"/>
      <c r="C476" s="348"/>
      <c r="D476" s="349"/>
      <c r="E476" s="348"/>
      <c r="F476" s="345"/>
      <c r="G476" s="346"/>
      <c r="H476" s="348">
        <v>84.074444</v>
      </c>
      <c r="I476" s="345"/>
      <c r="J476" s="349"/>
      <c r="K476" s="325"/>
      <c r="L476" s="325">
        <f t="shared" si="28"/>
        <v>84.074444</v>
      </c>
      <c r="O476" s="325"/>
      <c r="P476" s="363"/>
      <c r="Q476" s="363"/>
      <c r="R476" s="364"/>
    </row>
    <row r="477" s="326" customFormat="1" ht="16.5" customHeight="1" spans="1:18">
      <c r="A477" s="347" t="s">
        <v>462</v>
      </c>
      <c r="B477" s="348">
        <v>5162</v>
      </c>
      <c r="C477" s="348">
        <v>3856</v>
      </c>
      <c r="D477" s="349">
        <f>C477/B477*100</f>
        <v>74.6997287872917</v>
      </c>
      <c r="E477" s="348">
        <v>2925</v>
      </c>
      <c r="F477" s="345">
        <f>C477-E477</f>
        <v>931</v>
      </c>
      <c r="G477" s="346">
        <f>F477/E477*100</f>
        <v>31.8290598290598</v>
      </c>
      <c r="H477" s="348">
        <f>SUM(H478:H484)</f>
        <v>2532.730378</v>
      </c>
      <c r="I477" s="345">
        <f>H477-B477</f>
        <v>-2629.269622</v>
      </c>
      <c r="J477" s="349">
        <f>I477/B477*100</f>
        <v>-50.9350953506393</v>
      </c>
      <c r="K477" s="325"/>
      <c r="L477" s="325">
        <f t="shared" si="28"/>
        <v>6388.730378</v>
      </c>
      <c r="O477" s="325"/>
      <c r="P477" s="363"/>
      <c r="Q477" s="363"/>
      <c r="R477" s="364"/>
    </row>
    <row r="478" ht="16.5" hidden="1" customHeight="1" spans="1:18">
      <c r="A478" s="347" t="s">
        <v>155</v>
      </c>
      <c r="B478" s="348"/>
      <c r="C478" s="348"/>
      <c r="D478" s="349"/>
      <c r="E478" s="348"/>
      <c r="F478" s="345"/>
      <c r="G478" s="346"/>
      <c r="H478" s="348">
        <v>0</v>
      </c>
      <c r="I478" s="345"/>
      <c r="J478" s="349"/>
      <c r="K478" s="325"/>
      <c r="L478" s="325">
        <f t="shared" si="28"/>
        <v>0</v>
      </c>
      <c r="O478" s="325"/>
      <c r="P478" s="363"/>
      <c r="Q478" s="363"/>
      <c r="R478" s="364"/>
    </row>
    <row r="479" ht="16.5" hidden="1" customHeight="1" spans="1:18">
      <c r="A479" s="347" t="s">
        <v>156</v>
      </c>
      <c r="B479" s="348"/>
      <c r="C479" s="348"/>
      <c r="D479" s="349"/>
      <c r="E479" s="348"/>
      <c r="F479" s="345"/>
      <c r="G479" s="346"/>
      <c r="H479" s="348">
        <v>0</v>
      </c>
      <c r="I479" s="345"/>
      <c r="J479" s="349"/>
      <c r="K479" s="325"/>
      <c r="L479" s="325">
        <f t="shared" si="28"/>
        <v>0</v>
      </c>
      <c r="O479" s="325"/>
      <c r="P479" s="363"/>
      <c r="Q479" s="363"/>
      <c r="R479" s="364"/>
    </row>
    <row r="480" ht="16.5" hidden="1" customHeight="1" spans="1:18">
      <c r="A480" s="347" t="s">
        <v>157</v>
      </c>
      <c r="B480" s="348"/>
      <c r="C480" s="348"/>
      <c r="D480" s="349"/>
      <c r="E480" s="348"/>
      <c r="F480" s="345"/>
      <c r="G480" s="346"/>
      <c r="H480" s="348">
        <v>0</v>
      </c>
      <c r="I480" s="345"/>
      <c r="J480" s="349"/>
      <c r="K480" s="325"/>
      <c r="L480" s="325">
        <f t="shared" si="28"/>
        <v>0</v>
      </c>
      <c r="O480" s="325"/>
      <c r="P480" s="363"/>
      <c r="Q480" s="363"/>
      <c r="R480" s="364"/>
    </row>
    <row r="481" ht="16.5" hidden="1" customHeight="1" spans="1:18">
      <c r="A481" s="347" t="s">
        <v>463</v>
      </c>
      <c r="B481" s="348"/>
      <c r="C481" s="348"/>
      <c r="D481" s="349"/>
      <c r="E481" s="348"/>
      <c r="F481" s="345"/>
      <c r="G481" s="346"/>
      <c r="H481" s="348">
        <v>0</v>
      </c>
      <c r="I481" s="345"/>
      <c r="J481" s="349"/>
      <c r="K481" s="325"/>
      <c r="L481" s="325">
        <f t="shared" si="28"/>
        <v>0</v>
      </c>
      <c r="O481" s="325"/>
      <c r="P481" s="363"/>
      <c r="Q481" s="363"/>
      <c r="R481" s="364"/>
    </row>
    <row r="482" ht="16.5" hidden="1" customHeight="1" spans="1:18">
      <c r="A482" s="347" t="s">
        <v>464</v>
      </c>
      <c r="B482" s="348"/>
      <c r="C482" s="348"/>
      <c r="D482" s="349"/>
      <c r="E482" s="348"/>
      <c r="F482" s="345"/>
      <c r="G482" s="346"/>
      <c r="H482" s="348">
        <v>0</v>
      </c>
      <c r="I482" s="345"/>
      <c r="J482" s="349"/>
      <c r="K482" s="325"/>
      <c r="L482" s="325">
        <f t="shared" si="28"/>
        <v>0</v>
      </c>
      <c r="O482" s="325"/>
      <c r="P482" s="363"/>
      <c r="Q482" s="363"/>
      <c r="R482" s="364"/>
    </row>
    <row r="483" ht="16.5" customHeight="1" spans="1:18">
      <c r="A483" s="347" t="s">
        <v>465</v>
      </c>
      <c r="B483" s="348"/>
      <c r="C483" s="348"/>
      <c r="D483" s="349"/>
      <c r="E483" s="348"/>
      <c r="F483" s="345"/>
      <c r="G483" s="346"/>
      <c r="H483" s="348">
        <v>2343.318268</v>
      </c>
      <c r="I483" s="345"/>
      <c r="J483" s="349"/>
      <c r="K483" s="325"/>
      <c r="L483" s="325">
        <f t="shared" si="28"/>
        <v>2343.318268</v>
      </c>
      <c r="O483" s="325"/>
      <c r="P483" s="363"/>
      <c r="Q483" s="363"/>
      <c r="R483" s="364"/>
    </row>
    <row r="484" ht="16.5" customHeight="1" spans="1:18">
      <c r="A484" s="347" t="s">
        <v>466</v>
      </c>
      <c r="B484" s="348"/>
      <c r="C484" s="348"/>
      <c r="D484" s="349"/>
      <c r="E484" s="348"/>
      <c r="F484" s="345"/>
      <c r="G484" s="346"/>
      <c r="H484" s="348">
        <v>189.41211</v>
      </c>
      <c r="I484" s="345"/>
      <c r="J484" s="349"/>
      <c r="K484" s="325"/>
      <c r="L484" s="325">
        <f t="shared" si="28"/>
        <v>189.41211</v>
      </c>
      <c r="O484" s="325"/>
      <c r="P484" s="363"/>
      <c r="Q484" s="363"/>
      <c r="R484" s="364"/>
    </row>
    <row r="485" s="326" customFormat="1" ht="16.5" customHeight="1" spans="1:18">
      <c r="A485" s="347" t="s">
        <v>467</v>
      </c>
      <c r="B485" s="348">
        <v>1265</v>
      </c>
      <c r="C485" s="348">
        <v>285</v>
      </c>
      <c r="D485" s="349">
        <f t="shared" ref="D485:D489" si="29">C485/B485*100</f>
        <v>22.5296442687747</v>
      </c>
      <c r="E485" s="348">
        <v>241</v>
      </c>
      <c r="F485" s="345">
        <f t="shared" ref="F485:F489" si="30">C485-E485</f>
        <v>44</v>
      </c>
      <c r="G485" s="346">
        <f t="shared" ref="G485:G489" si="31">F485/E485*100</f>
        <v>18.2572614107884</v>
      </c>
      <c r="H485" s="348">
        <f>SUM(H486:H487)</f>
        <v>223.62</v>
      </c>
      <c r="I485" s="345">
        <f t="shared" ref="I485:I489" si="32">H485-B485</f>
        <v>-1041.38</v>
      </c>
      <c r="J485" s="349">
        <f t="shared" ref="J485:J489" si="33">I485/B485*100</f>
        <v>-82.3225296442688</v>
      </c>
      <c r="K485" s="325"/>
      <c r="L485" s="325">
        <f t="shared" si="28"/>
        <v>508.62</v>
      </c>
      <c r="O485" s="325"/>
      <c r="P485" s="363"/>
      <c r="Q485" s="363"/>
      <c r="R485" s="364"/>
    </row>
    <row r="486" ht="16.5" hidden="1" customHeight="1" spans="1:18">
      <c r="A486" s="365" t="s">
        <v>468</v>
      </c>
      <c r="B486" s="348"/>
      <c r="C486" s="348">
        <v>0</v>
      </c>
      <c r="D486" s="349"/>
      <c r="E486" s="348"/>
      <c r="F486" s="345"/>
      <c r="G486" s="346"/>
      <c r="H486" s="348">
        <v>0</v>
      </c>
      <c r="I486" s="345"/>
      <c r="J486" s="349"/>
      <c r="K486" s="325"/>
      <c r="L486" s="325">
        <f t="shared" si="28"/>
        <v>0</v>
      </c>
      <c r="O486" s="325"/>
      <c r="P486" s="363"/>
      <c r="Q486" s="363"/>
      <c r="R486" s="364"/>
    </row>
    <row r="487" ht="16.5" customHeight="1" spans="1:18">
      <c r="A487" s="365" t="s">
        <v>469</v>
      </c>
      <c r="B487" s="348"/>
      <c r="C487" s="348"/>
      <c r="D487" s="349"/>
      <c r="E487" s="348"/>
      <c r="F487" s="345"/>
      <c r="G487" s="346"/>
      <c r="H487" s="348">
        <v>223.62</v>
      </c>
      <c r="I487" s="345"/>
      <c r="J487" s="349"/>
      <c r="K487" s="325"/>
      <c r="L487" s="325">
        <f t="shared" si="28"/>
        <v>223.62</v>
      </c>
      <c r="O487" s="325"/>
      <c r="P487" s="363"/>
      <c r="Q487" s="363"/>
      <c r="R487" s="364"/>
    </row>
    <row r="488" s="325" customFormat="1" ht="16.5" customHeight="1" spans="1:18">
      <c r="A488" s="344" t="s">
        <v>470</v>
      </c>
      <c r="B488" s="345">
        <f>B489+B508+B516+B517+B526+B530+B540+B549+B556+B564+B573+B579+B582+B585+B588+B594+B598+B591+B602+B614+B611</f>
        <v>104330</v>
      </c>
      <c r="C488" s="345">
        <f>C489+C508+C516+C517+C526+C530+C540+C549+C556+C564+C573+C579+C582+C585+C588+C594+C598+C591+C602+C614+C611</f>
        <v>95430</v>
      </c>
      <c r="D488" s="349">
        <f t="shared" si="29"/>
        <v>91.4693760184032</v>
      </c>
      <c r="E488" s="345">
        <f>E489+E508+E516+E517+E526+E530+E540+E549+E556+E564+E573+E579+E582+E585+E588+E594+E598+E591+E602+E614+E611</f>
        <v>81130</v>
      </c>
      <c r="F488" s="345">
        <f t="shared" si="30"/>
        <v>14300</v>
      </c>
      <c r="G488" s="346">
        <f t="shared" si="31"/>
        <v>17.6260322938494</v>
      </c>
      <c r="H488" s="345">
        <f>H489+H508+H516+H517+H526+H530+H540+H549+H556+H564+H573+H579+H582+H585+H588+H594+H598+H591+H602+H614+H611</f>
        <v>98910.072075</v>
      </c>
      <c r="I488" s="345">
        <f t="shared" si="32"/>
        <v>-5419.927925</v>
      </c>
      <c r="J488" s="349">
        <f t="shared" si="33"/>
        <v>-5.19498507140803</v>
      </c>
      <c r="L488" s="325">
        <f t="shared" si="28"/>
        <v>194340.072075</v>
      </c>
      <c r="P488" s="362"/>
      <c r="Q488" s="362"/>
      <c r="R488" s="364"/>
    </row>
    <row r="489" s="326" customFormat="1" ht="16.5" customHeight="1" spans="1:18">
      <c r="A489" s="347" t="s">
        <v>471</v>
      </c>
      <c r="B489" s="348">
        <v>4146</v>
      </c>
      <c r="C489" s="348">
        <v>5168</v>
      </c>
      <c r="D489" s="349">
        <f t="shared" si="29"/>
        <v>124.650265315967</v>
      </c>
      <c r="E489" s="348">
        <v>3917</v>
      </c>
      <c r="F489" s="345">
        <f t="shared" si="30"/>
        <v>1251</v>
      </c>
      <c r="G489" s="346">
        <f t="shared" si="31"/>
        <v>31.937707429155</v>
      </c>
      <c r="H489" s="348">
        <f>SUM(H490:H507)</f>
        <v>3494.214507</v>
      </c>
      <c r="I489" s="345">
        <f t="shared" si="32"/>
        <v>-651.785492999999</v>
      </c>
      <c r="J489" s="349">
        <f t="shared" si="33"/>
        <v>-15.7208271345875</v>
      </c>
      <c r="K489" s="325"/>
      <c r="L489" s="325">
        <f t="shared" si="28"/>
        <v>8662.214507</v>
      </c>
      <c r="O489" s="325"/>
      <c r="P489" s="363"/>
      <c r="Q489" s="363"/>
      <c r="R489" s="364"/>
    </row>
    <row r="490" ht="16.5" customHeight="1" spans="1:18">
      <c r="A490" s="365" t="s">
        <v>155</v>
      </c>
      <c r="B490" s="348"/>
      <c r="C490" s="348"/>
      <c r="D490" s="349"/>
      <c r="E490" s="348"/>
      <c r="F490" s="345"/>
      <c r="G490" s="346"/>
      <c r="H490" s="348">
        <v>585.487341</v>
      </c>
      <c r="I490" s="345"/>
      <c r="J490" s="349"/>
      <c r="K490" s="325"/>
      <c r="L490" s="325">
        <f t="shared" si="28"/>
        <v>585.487341</v>
      </c>
      <c r="O490" s="325"/>
      <c r="P490" s="363"/>
      <c r="Q490" s="363"/>
      <c r="R490" s="364"/>
    </row>
    <row r="491" ht="16.5" customHeight="1" spans="1:18">
      <c r="A491" s="347" t="s">
        <v>156</v>
      </c>
      <c r="B491" s="348"/>
      <c r="C491" s="348"/>
      <c r="D491" s="349"/>
      <c r="E491" s="348"/>
      <c r="F491" s="345"/>
      <c r="G491" s="346"/>
      <c r="H491" s="348">
        <v>30.64</v>
      </c>
      <c r="I491" s="345"/>
      <c r="J491" s="349"/>
      <c r="K491" s="325"/>
      <c r="L491" s="325">
        <f t="shared" si="28"/>
        <v>30.64</v>
      </c>
      <c r="O491" s="325"/>
      <c r="P491" s="363"/>
      <c r="Q491" s="363"/>
      <c r="R491" s="364"/>
    </row>
    <row r="492" ht="16.5" hidden="1" customHeight="1" spans="1:18">
      <c r="A492" s="347" t="s">
        <v>157</v>
      </c>
      <c r="B492" s="348"/>
      <c r="C492" s="348"/>
      <c r="D492" s="349"/>
      <c r="E492" s="348"/>
      <c r="F492" s="345"/>
      <c r="G492" s="346"/>
      <c r="H492" s="348">
        <v>0</v>
      </c>
      <c r="I492" s="345"/>
      <c r="J492" s="349"/>
      <c r="K492" s="325"/>
      <c r="L492" s="325">
        <f t="shared" si="28"/>
        <v>0</v>
      </c>
      <c r="O492" s="325"/>
      <c r="P492" s="363"/>
      <c r="Q492" s="363"/>
      <c r="R492" s="364"/>
    </row>
    <row r="493" ht="16.5" customHeight="1" spans="1:18">
      <c r="A493" s="365" t="s">
        <v>472</v>
      </c>
      <c r="B493" s="348"/>
      <c r="C493" s="348"/>
      <c r="D493" s="349"/>
      <c r="E493" s="348"/>
      <c r="F493" s="345"/>
      <c r="G493" s="346"/>
      <c r="H493" s="348">
        <v>453.54</v>
      </c>
      <c r="I493" s="345"/>
      <c r="J493" s="349"/>
      <c r="K493" s="325"/>
      <c r="L493" s="325">
        <f t="shared" si="28"/>
        <v>453.54</v>
      </c>
      <c r="O493" s="325"/>
      <c r="P493" s="363"/>
      <c r="Q493" s="363"/>
      <c r="R493" s="364"/>
    </row>
    <row r="494" ht="16.5" hidden="1" customHeight="1" spans="1:18">
      <c r="A494" s="365" t="s">
        <v>473</v>
      </c>
      <c r="B494" s="348"/>
      <c r="C494" s="348"/>
      <c r="D494" s="349"/>
      <c r="E494" s="348"/>
      <c r="F494" s="345"/>
      <c r="G494" s="346"/>
      <c r="H494" s="348">
        <v>0</v>
      </c>
      <c r="I494" s="345"/>
      <c r="J494" s="349"/>
      <c r="K494" s="325"/>
      <c r="L494" s="325">
        <f t="shared" si="28"/>
        <v>0</v>
      </c>
      <c r="O494" s="325"/>
      <c r="P494" s="363"/>
      <c r="Q494" s="363"/>
      <c r="R494" s="364"/>
    </row>
    <row r="495" ht="16.5" customHeight="1" spans="1:18">
      <c r="A495" s="365" t="s">
        <v>474</v>
      </c>
      <c r="B495" s="348"/>
      <c r="C495" s="348"/>
      <c r="D495" s="349"/>
      <c r="E495" s="348"/>
      <c r="F495" s="345"/>
      <c r="G495" s="346"/>
      <c r="H495" s="348">
        <v>256.429675</v>
      </c>
      <c r="I495" s="345"/>
      <c r="J495" s="349"/>
      <c r="K495" s="325"/>
      <c r="L495" s="325">
        <f t="shared" si="28"/>
        <v>256.429675</v>
      </c>
      <c r="O495" s="325"/>
      <c r="P495" s="363"/>
      <c r="Q495" s="363"/>
      <c r="R495" s="364"/>
    </row>
    <row r="496" ht="16.5" hidden="1" customHeight="1" spans="1:18">
      <c r="A496" s="365" t="s">
        <v>475</v>
      </c>
      <c r="B496" s="348"/>
      <c r="C496" s="348"/>
      <c r="D496" s="349"/>
      <c r="E496" s="348"/>
      <c r="F496" s="345"/>
      <c r="G496" s="346"/>
      <c r="H496" s="348">
        <v>0</v>
      </c>
      <c r="I496" s="345"/>
      <c r="J496" s="349"/>
      <c r="K496" s="325"/>
      <c r="L496" s="325">
        <f t="shared" si="28"/>
        <v>0</v>
      </c>
      <c r="O496" s="325"/>
      <c r="P496" s="363"/>
      <c r="Q496" s="363"/>
      <c r="R496" s="364"/>
    </row>
    <row r="497" ht="16.5" hidden="1" customHeight="1" spans="1:18">
      <c r="A497" s="365" t="s">
        <v>195</v>
      </c>
      <c r="B497" s="348"/>
      <c r="C497" s="348"/>
      <c r="D497" s="349"/>
      <c r="E497" s="348"/>
      <c r="F497" s="345"/>
      <c r="G497" s="346"/>
      <c r="H497" s="348">
        <v>0</v>
      </c>
      <c r="I497" s="345"/>
      <c r="J497" s="349"/>
      <c r="K497" s="325"/>
      <c r="L497" s="325">
        <f t="shared" si="28"/>
        <v>0</v>
      </c>
      <c r="O497" s="325"/>
      <c r="P497" s="363"/>
      <c r="Q497" s="363"/>
      <c r="R497" s="364"/>
    </row>
    <row r="498" ht="16.5" customHeight="1" spans="1:18">
      <c r="A498" s="365" t="s">
        <v>476</v>
      </c>
      <c r="B498" s="348"/>
      <c r="C498" s="348"/>
      <c r="D498" s="349"/>
      <c r="E498" s="348"/>
      <c r="F498" s="345"/>
      <c r="G498" s="346"/>
      <c r="H498" s="348">
        <v>1046.945478</v>
      </c>
      <c r="I498" s="345"/>
      <c r="J498" s="349"/>
      <c r="K498" s="325"/>
      <c r="L498" s="325">
        <f t="shared" si="28"/>
        <v>1046.945478</v>
      </c>
      <c r="O498" s="325"/>
      <c r="P498" s="363"/>
      <c r="Q498" s="363"/>
      <c r="R498" s="364"/>
    </row>
    <row r="499" ht="16.5" customHeight="1" spans="1:18">
      <c r="A499" s="365" t="s">
        <v>477</v>
      </c>
      <c r="B499" s="348"/>
      <c r="C499" s="348"/>
      <c r="D499" s="349"/>
      <c r="E499" s="348"/>
      <c r="F499" s="345"/>
      <c r="G499" s="346"/>
      <c r="H499" s="348">
        <v>223.745394</v>
      </c>
      <c r="I499" s="345"/>
      <c r="J499" s="349"/>
      <c r="K499" s="325"/>
      <c r="L499" s="325">
        <f t="shared" si="28"/>
        <v>223.745394</v>
      </c>
      <c r="O499" s="325"/>
      <c r="P499" s="363"/>
      <c r="Q499" s="363"/>
      <c r="R499" s="364"/>
    </row>
    <row r="500" ht="16.5" customHeight="1" spans="1:18">
      <c r="A500" s="365" t="s">
        <v>478</v>
      </c>
      <c r="B500" s="348"/>
      <c r="C500" s="348"/>
      <c r="D500" s="349"/>
      <c r="E500" s="348"/>
      <c r="F500" s="345"/>
      <c r="G500" s="346"/>
      <c r="H500" s="348">
        <v>70.263225</v>
      </c>
      <c r="I500" s="345"/>
      <c r="J500" s="349"/>
      <c r="K500" s="325"/>
      <c r="L500" s="325">
        <f t="shared" si="28"/>
        <v>70.263225</v>
      </c>
      <c r="O500" s="325"/>
      <c r="P500" s="363"/>
      <c r="Q500" s="363"/>
      <c r="R500" s="364"/>
    </row>
    <row r="501" ht="16.5" hidden="1" customHeight="1" spans="1:18">
      <c r="A501" s="365" t="s">
        <v>479</v>
      </c>
      <c r="B501" s="348"/>
      <c r="C501" s="348"/>
      <c r="D501" s="349"/>
      <c r="E501" s="348"/>
      <c r="F501" s="345"/>
      <c r="G501" s="346"/>
      <c r="H501" s="348">
        <v>0</v>
      </c>
      <c r="I501" s="345"/>
      <c r="J501" s="349"/>
      <c r="K501" s="325"/>
      <c r="L501" s="325">
        <f t="shared" si="28"/>
        <v>0</v>
      </c>
      <c r="O501" s="325"/>
      <c r="P501" s="363"/>
      <c r="Q501" s="363"/>
      <c r="R501" s="364"/>
    </row>
    <row r="502" ht="16.5" hidden="1" customHeight="1" spans="1:18">
      <c r="A502" s="365" t="s">
        <v>480</v>
      </c>
      <c r="B502" s="348"/>
      <c r="C502" s="348"/>
      <c r="D502" s="349"/>
      <c r="E502" s="348"/>
      <c r="F502" s="345"/>
      <c r="G502" s="346"/>
      <c r="H502" s="348">
        <v>0</v>
      </c>
      <c r="I502" s="345"/>
      <c r="J502" s="349"/>
      <c r="K502" s="325"/>
      <c r="L502" s="325">
        <f t="shared" si="28"/>
        <v>0</v>
      </c>
      <c r="O502" s="325"/>
      <c r="P502" s="363"/>
      <c r="Q502" s="363"/>
      <c r="R502" s="364"/>
    </row>
    <row r="503" ht="16.5" hidden="1" customHeight="1" spans="1:18">
      <c r="A503" s="365" t="s">
        <v>481</v>
      </c>
      <c r="B503" s="348"/>
      <c r="C503" s="348"/>
      <c r="D503" s="349"/>
      <c r="E503" s="348"/>
      <c r="F503" s="345"/>
      <c r="G503" s="346"/>
      <c r="H503" s="348">
        <v>0</v>
      </c>
      <c r="I503" s="345"/>
      <c r="J503" s="349"/>
      <c r="K503" s="325"/>
      <c r="L503" s="325">
        <f t="shared" si="28"/>
        <v>0</v>
      </c>
      <c r="O503" s="325"/>
      <c r="P503" s="363"/>
      <c r="Q503" s="363"/>
      <c r="R503" s="364"/>
    </row>
    <row r="504" ht="16.5" hidden="1" customHeight="1" spans="1:18">
      <c r="A504" s="365" t="s">
        <v>482</v>
      </c>
      <c r="B504" s="348"/>
      <c r="C504" s="348"/>
      <c r="D504" s="349"/>
      <c r="E504" s="348"/>
      <c r="F504" s="345"/>
      <c r="G504" s="346"/>
      <c r="H504" s="348">
        <v>0</v>
      </c>
      <c r="I504" s="345"/>
      <c r="J504" s="349"/>
      <c r="K504" s="325"/>
      <c r="L504" s="325">
        <f t="shared" si="28"/>
        <v>0</v>
      </c>
      <c r="O504" s="325"/>
      <c r="P504" s="363"/>
      <c r="Q504" s="363"/>
      <c r="R504" s="364"/>
    </row>
    <row r="505" ht="16.5" hidden="1" customHeight="1" spans="1:18">
      <c r="A505" s="365" t="s">
        <v>483</v>
      </c>
      <c r="B505" s="348"/>
      <c r="C505" s="348"/>
      <c r="D505" s="349"/>
      <c r="E505" s="348"/>
      <c r="F505" s="345"/>
      <c r="G505" s="346"/>
      <c r="H505" s="348">
        <v>0</v>
      </c>
      <c r="I505" s="345"/>
      <c r="J505" s="349"/>
      <c r="K505" s="325"/>
      <c r="L505" s="325">
        <f t="shared" si="28"/>
        <v>0</v>
      </c>
      <c r="O505" s="325"/>
      <c r="P505" s="363"/>
      <c r="Q505" s="363"/>
      <c r="R505" s="364"/>
    </row>
    <row r="506" ht="16.5" hidden="1" customHeight="1" spans="1:18">
      <c r="A506" s="365" t="s">
        <v>164</v>
      </c>
      <c r="B506" s="348"/>
      <c r="C506" s="348"/>
      <c r="D506" s="349"/>
      <c r="E506" s="348"/>
      <c r="F506" s="345"/>
      <c r="G506" s="346"/>
      <c r="H506" s="348">
        <v>0</v>
      </c>
      <c r="I506" s="345"/>
      <c r="J506" s="349"/>
      <c r="K506" s="325"/>
      <c r="L506" s="325">
        <f t="shared" si="28"/>
        <v>0</v>
      </c>
      <c r="O506" s="325"/>
      <c r="P506" s="363"/>
      <c r="Q506" s="363"/>
      <c r="R506" s="364"/>
    </row>
    <row r="507" ht="16.5" customHeight="1" spans="1:18">
      <c r="A507" s="365" t="s">
        <v>484</v>
      </c>
      <c r="B507" s="348"/>
      <c r="C507" s="348"/>
      <c r="D507" s="349"/>
      <c r="E507" s="348"/>
      <c r="F507" s="345"/>
      <c r="G507" s="346"/>
      <c r="H507" s="348">
        <v>827.163394</v>
      </c>
      <c r="I507" s="345"/>
      <c r="J507" s="349"/>
      <c r="K507" s="325"/>
      <c r="L507" s="325">
        <f t="shared" si="28"/>
        <v>827.163394</v>
      </c>
      <c r="O507" s="325"/>
      <c r="P507" s="363"/>
      <c r="Q507" s="363"/>
      <c r="R507" s="364"/>
    </row>
    <row r="508" s="326" customFormat="1" ht="16.5" customHeight="1" spans="1:18">
      <c r="A508" s="347" t="s">
        <v>485</v>
      </c>
      <c r="B508" s="348">
        <v>504</v>
      </c>
      <c r="C508" s="348">
        <v>700</v>
      </c>
      <c r="D508" s="349">
        <f>C508/B508*100</f>
        <v>138.888888888889</v>
      </c>
      <c r="E508" s="348">
        <v>1131</v>
      </c>
      <c r="F508" s="345">
        <f>C508-E508</f>
        <v>-431</v>
      </c>
      <c r="G508" s="346">
        <f>F508/E508*100</f>
        <v>-38.1078691423519</v>
      </c>
      <c r="H508" s="348">
        <f>SUM(H509:H515)</f>
        <v>424.331099</v>
      </c>
      <c r="I508" s="345">
        <f>H508-B508</f>
        <v>-79.6689010000001</v>
      </c>
      <c r="J508" s="349">
        <f>I508/B508*100</f>
        <v>-15.8073216269841</v>
      </c>
      <c r="K508" s="325"/>
      <c r="L508" s="325">
        <f t="shared" si="28"/>
        <v>1124.331099</v>
      </c>
      <c r="O508" s="325"/>
      <c r="P508" s="363"/>
      <c r="Q508" s="363"/>
      <c r="R508" s="364"/>
    </row>
    <row r="509" ht="16.5" customHeight="1" spans="1:18">
      <c r="A509" s="347" t="s">
        <v>155</v>
      </c>
      <c r="B509" s="348"/>
      <c r="C509" s="348"/>
      <c r="D509" s="349"/>
      <c r="E509" s="348"/>
      <c r="F509" s="345"/>
      <c r="G509" s="346"/>
      <c r="H509" s="348">
        <v>258.645363</v>
      </c>
      <c r="I509" s="345"/>
      <c r="J509" s="349"/>
      <c r="K509" s="325"/>
      <c r="L509" s="325">
        <f t="shared" si="28"/>
        <v>258.645363</v>
      </c>
      <c r="O509" s="325"/>
      <c r="P509" s="363"/>
      <c r="Q509" s="363"/>
      <c r="R509" s="364"/>
    </row>
    <row r="510" ht="16.5" customHeight="1" spans="1:18">
      <c r="A510" s="347" t="s">
        <v>156</v>
      </c>
      <c r="B510" s="348"/>
      <c r="C510" s="348"/>
      <c r="D510" s="349"/>
      <c r="E510" s="348"/>
      <c r="F510" s="345"/>
      <c r="G510" s="346"/>
      <c r="H510" s="348">
        <v>132.745736</v>
      </c>
      <c r="I510" s="345"/>
      <c r="J510" s="349"/>
      <c r="K510" s="325"/>
      <c r="L510" s="325">
        <f t="shared" si="28"/>
        <v>132.745736</v>
      </c>
      <c r="O510" s="325"/>
      <c r="P510" s="363"/>
      <c r="Q510" s="363"/>
      <c r="R510" s="364"/>
    </row>
    <row r="511" ht="16.5" hidden="1" customHeight="1" spans="1:18">
      <c r="A511" s="347" t="s">
        <v>157</v>
      </c>
      <c r="B511" s="348"/>
      <c r="C511" s="348"/>
      <c r="D511" s="349"/>
      <c r="E511" s="348"/>
      <c r="F511" s="345"/>
      <c r="G511" s="346"/>
      <c r="H511" s="348">
        <v>0</v>
      </c>
      <c r="I511" s="345"/>
      <c r="J511" s="349"/>
      <c r="K511" s="325"/>
      <c r="L511" s="325">
        <f t="shared" si="28"/>
        <v>0</v>
      </c>
      <c r="O511" s="325"/>
      <c r="P511" s="363"/>
      <c r="Q511" s="363"/>
      <c r="R511" s="364"/>
    </row>
    <row r="512" ht="16.5" hidden="1" customHeight="1" spans="1:18">
      <c r="A512" s="347" t="s">
        <v>486</v>
      </c>
      <c r="B512" s="348"/>
      <c r="C512" s="348"/>
      <c r="D512" s="349"/>
      <c r="E512" s="348"/>
      <c r="F512" s="345"/>
      <c r="G512" s="346"/>
      <c r="H512" s="348">
        <v>0</v>
      </c>
      <c r="I512" s="345"/>
      <c r="J512" s="349"/>
      <c r="K512" s="325"/>
      <c r="L512" s="325">
        <f t="shared" si="28"/>
        <v>0</v>
      </c>
      <c r="O512" s="325"/>
      <c r="P512" s="363"/>
      <c r="Q512" s="363"/>
      <c r="R512" s="364"/>
    </row>
    <row r="513" ht="16.5" customHeight="1" spans="1:18">
      <c r="A513" s="347" t="s">
        <v>487</v>
      </c>
      <c r="B513" s="348"/>
      <c r="C513" s="348"/>
      <c r="D513" s="349"/>
      <c r="E513" s="348"/>
      <c r="F513" s="345"/>
      <c r="G513" s="346"/>
      <c r="H513" s="348">
        <v>2.94</v>
      </c>
      <c r="I513" s="345"/>
      <c r="J513" s="349"/>
      <c r="K513" s="325"/>
      <c r="L513" s="325">
        <f t="shared" si="28"/>
        <v>2.94</v>
      </c>
      <c r="O513" s="325"/>
      <c r="P513" s="363"/>
      <c r="Q513" s="363"/>
      <c r="R513" s="364"/>
    </row>
    <row r="514" ht="16.5" hidden="1" customHeight="1" spans="1:18">
      <c r="A514" s="347" t="s">
        <v>488</v>
      </c>
      <c r="B514" s="348"/>
      <c r="C514" s="348"/>
      <c r="D514" s="349"/>
      <c r="E514" s="348"/>
      <c r="F514" s="345"/>
      <c r="G514" s="346"/>
      <c r="H514" s="348">
        <v>0</v>
      </c>
      <c r="I514" s="345"/>
      <c r="J514" s="349"/>
      <c r="K514" s="325"/>
      <c r="L514" s="325">
        <f t="shared" si="28"/>
        <v>0</v>
      </c>
      <c r="O514" s="325"/>
      <c r="P514" s="363"/>
      <c r="Q514" s="363"/>
      <c r="R514" s="364"/>
    </row>
    <row r="515" ht="16.5" customHeight="1" spans="1:18">
      <c r="A515" s="347" t="s">
        <v>489</v>
      </c>
      <c r="B515" s="348"/>
      <c r="C515" s="348"/>
      <c r="D515" s="349"/>
      <c r="E515" s="348"/>
      <c r="F515" s="345"/>
      <c r="G515" s="346"/>
      <c r="H515" s="348">
        <v>30</v>
      </c>
      <c r="I515" s="345"/>
      <c r="J515" s="349"/>
      <c r="K515" s="325"/>
      <c r="L515" s="325">
        <f t="shared" si="28"/>
        <v>30</v>
      </c>
      <c r="O515" s="325"/>
      <c r="P515" s="363"/>
      <c r="Q515" s="363"/>
      <c r="R515" s="364"/>
    </row>
    <row r="516" s="326" customFormat="1" ht="16.5" hidden="1" customHeight="1" spans="1:18">
      <c r="A516" s="347" t="s">
        <v>490</v>
      </c>
      <c r="B516" s="348"/>
      <c r="C516" s="348"/>
      <c r="D516" s="349"/>
      <c r="E516" s="348"/>
      <c r="F516" s="345">
        <f>C516-E516</f>
        <v>0</v>
      </c>
      <c r="G516" s="346"/>
      <c r="H516" s="348">
        <v>0</v>
      </c>
      <c r="I516" s="345">
        <f>H516-B516</f>
        <v>0</v>
      </c>
      <c r="J516" s="349"/>
      <c r="K516" s="325"/>
      <c r="L516" s="325">
        <f t="shared" si="28"/>
        <v>0</v>
      </c>
      <c r="O516" s="325"/>
      <c r="P516" s="363"/>
      <c r="Q516" s="363"/>
      <c r="R516" s="364"/>
    </row>
    <row r="517" s="326" customFormat="1" ht="16.5" customHeight="1" spans="1:18">
      <c r="A517" s="347" t="s">
        <v>491</v>
      </c>
      <c r="B517" s="348">
        <v>74645</v>
      </c>
      <c r="C517" s="348">
        <v>72474</v>
      </c>
      <c r="D517" s="349">
        <f>C517/B517*100</f>
        <v>97.0915667492799</v>
      </c>
      <c r="E517" s="348">
        <v>55468</v>
      </c>
      <c r="F517" s="345">
        <f>C517-E517</f>
        <v>17006</v>
      </c>
      <c r="G517" s="346">
        <f>F517/E517*100</f>
        <v>30.6591187711834</v>
      </c>
      <c r="H517" s="348">
        <f>SUM(H518:H525)</f>
        <v>74722.531706</v>
      </c>
      <c r="I517" s="345">
        <f>H517-B517</f>
        <v>77.5317060000089</v>
      </c>
      <c r="J517" s="349">
        <f>I517/B517*100</f>
        <v>0.103867246299161</v>
      </c>
      <c r="K517" s="325"/>
      <c r="L517" s="325">
        <f t="shared" si="28"/>
        <v>147196.531706</v>
      </c>
      <c r="O517" s="325"/>
      <c r="P517" s="363"/>
      <c r="Q517" s="363"/>
      <c r="R517" s="364"/>
    </row>
    <row r="518" ht="16.5" customHeight="1" spans="1:18">
      <c r="A518" s="365" t="s">
        <v>492</v>
      </c>
      <c r="B518" s="348"/>
      <c r="C518" s="348"/>
      <c r="D518" s="349"/>
      <c r="E518" s="348"/>
      <c r="F518" s="345"/>
      <c r="G518" s="346"/>
      <c r="H518" s="348">
        <v>4124.814092</v>
      </c>
      <c r="I518" s="345"/>
      <c r="J518" s="349"/>
      <c r="K518" s="325"/>
      <c r="L518" s="325">
        <f t="shared" si="28"/>
        <v>4124.814092</v>
      </c>
      <c r="O518" s="325"/>
      <c r="P518" s="363"/>
      <c r="Q518" s="363"/>
      <c r="R518" s="364"/>
    </row>
    <row r="519" ht="16.5" customHeight="1" spans="1:18">
      <c r="A519" s="365" t="s">
        <v>493</v>
      </c>
      <c r="B519" s="348"/>
      <c r="C519" s="348"/>
      <c r="D519" s="349"/>
      <c r="E519" s="348"/>
      <c r="F519" s="345"/>
      <c r="G519" s="346"/>
      <c r="H519" s="348">
        <v>3823.909848</v>
      </c>
      <c r="I519" s="345"/>
      <c r="J519" s="349"/>
      <c r="K519" s="325"/>
      <c r="L519" s="325">
        <f t="shared" si="28"/>
        <v>3823.909848</v>
      </c>
      <c r="O519" s="325"/>
      <c r="P519" s="363"/>
      <c r="Q519" s="363"/>
      <c r="R519" s="364"/>
    </row>
    <row r="520" ht="16.5" hidden="1" customHeight="1" spans="1:18">
      <c r="A520" s="365" t="s">
        <v>494</v>
      </c>
      <c r="B520" s="348"/>
      <c r="C520" s="348"/>
      <c r="D520" s="349"/>
      <c r="E520" s="348"/>
      <c r="F520" s="345"/>
      <c r="G520" s="346"/>
      <c r="H520" s="348">
        <v>0</v>
      </c>
      <c r="I520" s="345"/>
      <c r="J520" s="349"/>
      <c r="K520" s="325"/>
      <c r="L520" s="325">
        <f t="shared" ref="L520:L583" si="34">C520+H520</f>
        <v>0</v>
      </c>
      <c r="O520" s="325"/>
      <c r="P520" s="363"/>
      <c r="Q520" s="363"/>
      <c r="R520" s="364"/>
    </row>
    <row r="521" ht="16.5" customHeight="1" spans="1:18">
      <c r="A521" s="365" t="s">
        <v>495</v>
      </c>
      <c r="B521" s="348"/>
      <c r="C521" s="348"/>
      <c r="D521" s="349"/>
      <c r="E521" s="348"/>
      <c r="F521" s="345"/>
      <c r="G521" s="346"/>
      <c r="H521" s="348">
        <v>24930.209224</v>
      </c>
      <c r="I521" s="345"/>
      <c r="J521" s="349"/>
      <c r="K521" s="325"/>
      <c r="L521" s="325">
        <f t="shared" si="34"/>
        <v>24930.209224</v>
      </c>
      <c r="O521" s="325"/>
      <c r="P521" s="363"/>
      <c r="Q521" s="363"/>
      <c r="R521" s="364"/>
    </row>
    <row r="522" ht="16.5" customHeight="1" spans="1:18">
      <c r="A522" s="365" t="s">
        <v>496</v>
      </c>
      <c r="B522" s="348"/>
      <c r="C522" s="348"/>
      <c r="D522" s="349"/>
      <c r="E522" s="348"/>
      <c r="F522" s="345"/>
      <c r="G522" s="346"/>
      <c r="H522" s="348">
        <v>13904.958542</v>
      </c>
      <c r="I522" s="345"/>
      <c r="J522" s="349"/>
      <c r="K522" s="325"/>
      <c r="L522" s="325">
        <f t="shared" si="34"/>
        <v>13904.958542</v>
      </c>
      <c r="O522" s="325"/>
      <c r="P522" s="363"/>
      <c r="Q522" s="363"/>
      <c r="R522" s="364"/>
    </row>
    <row r="523" ht="16.5" customHeight="1" spans="1:18">
      <c r="A523" s="365" t="s">
        <v>497</v>
      </c>
      <c r="B523" s="348"/>
      <c r="C523" s="348"/>
      <c r="D523" s="349"/>
      <c r="E523" s="348"/>
      <c r="F523" s="345"/>
      <c r="G523" s="346"/>
      <c r="H523" s="348">
        <v>27938.64</v>
      </c>
      <c r="I523" s="345"/>
      <c r="J523" s="349"/>
      <c r="K523" s="325"/>
      <c r="L523" s="325">
        <f t="shared" si="34"/>
        <v>27938.64</v>
      </c>
      <c r="O523" s="325"/>
      <c r="P523" s="363"/>
      <c r="Q523" s="363"/>
      <c r="R523" s="364"/>
    </row>
    <row r="524" ht="16.5" hidden="1" customHeight="1" spans="1:18">
      <c r="A524" s="365" t="s">
        <v>498</v>
      </c>
      <c r="B524" s="348"/>
      <c r="C524" s="348"/>
      <c r="D524" s="349"/>
      <c r="E524" s="348"/>
      <c r="F524" s="345"/>
      <c r="G524" s="346"/>
      <c r="H524" s="348">
        <v>0</v>
      </c>
      <c r="I524" s="345"/>
      <c r="J524" s="349"/>
      <c r="K524" s="325"/>
      <c r="L524" s="325">
        <f t="shared" si="34"/>
        <v>0</v>
      </c>
      <c r="O524" s="325"/>
      <c r="P524" s="363"/>
      <c r="Q524" s="363"/>
      <c r="R524" s="364"/>
    </row>
    <row r="525" ht="16.5" hidden="1" customHeight="1" spans="1:18">
      <c r="A525" s="365" t="s">
        <v>499</v>
      </c>
      <c r="B525" s="348"/>
      <c r="C525" s="348"/>
      <c r="D525" s="349"/>
      <c r="E525" s="348"/>
      <c r="F525" s="345"/>
      <c r="G525" s="346"/>
      <c r="H525" s="348">
        <v>0</v>
      </c>
      <c r="I525" s="345"/>
      <c r="J525" s="349"/>
      <c r="K525" s="325"/>
      <c r="L525" s="325">
        <f t="shared" si="34"/>
        <v>0</v>
      </c>
      <c r="O525" s="325"/>
      <c r="P525" s="363"/>
      <c r="Q525" s="363"/>
      <c r="R525" s="364"/>
    </row>
    <row r="526" s="326" customFormat="1" ht="16.5" hidden="1" customHeight="1" spans="1:18">
      <c r="A526" s="347" t="s">
        <v>500</v>
      </c>
      <c r="B526" s="348"/>
      <c r="C526" s="348"/>
      <c r="D526" s="349"/>
      <c r="E526" s="348"/>
      <c r="F526" s="345"/>
      <c r="G526" s="346"/>
      <c r="H526" s="348"/>
      <c r="I526" s="345"/>
      <c r="J526" s="349"/>
      <c r="K526" s="325"/>
      <c r="L526" s="325">
        <f t="shared" si="34"/>
        <v>0</v>
      </c>
      <c r="O526" s="325"/>
      <c r="P526" s="363"/>
      <c r="Q526" s="363"/>
      <c r="R526" s="364"/>
    </row>
    <row r="527" s="326" customFormat="1" ht="16.5" hidden="1" customHeight="1" spans="1:16383">
      <c r="A527" s="365" t="s">
        <v>501</v>
      </c>
      <c r="B527" s="348"/>
      <c r="C527" s="348"/>
      <c r="D527" s="349"/>
      <c r="E527" s="348"/>
      <c r="F527" s="345"/>
      <c r="G527" s="346"/>
      <c r="H527" s="348"/>
      <c r="I527" s="345"/>
      <c r="J527" s="349"/>
      <c r="K527" s="325"/>
      <c r="L527" s="325">
        <f t="shared" si="34"/>
        <v>0</v>
      </c>
      <c r="O527" s="325"/>
      <c r="P527" s="363"/>
      <c r="Q527" s="363"/>
      <c r="R527" s="364"/>
      <c r="XFB527" s="332"/>
      <c r="XFC527" s="332"/>
    </row>
    <row r="528" s="326" customFormat="1" ht="16.5" hidden="1" customHeight="1" spans="1:16383">
      <c r="A528" s="365" t="s">
        <v>502</v>
      </c>
      <c r="B528" s="348"/>
      <c r="C528" s="348"/>
      <c r="D528" s="349"/>
      <c r="E528" s="348"/>
      <c r="F528" s="345"/>
      <c r="G528" s="346"/>
      <c r="H528" s="348"/>
      <c r="I528" s="345"/>
      <c r="J528" s="349"/>
      <c r="K528" s="325"/>
      <c r="L528" s="325">
        <f t="shared" si="34"/>
        <v>0</v>
      </c>
      <c r="O528" s="325"/>
      <c r="P528" s="363"/>
      <c r="Q528" s="363"/>
      <c r="R528" s="364"/>
      <c r="XFB528" s="332"/>
      <c r="XFC528" s="332"/>
    </row>
    <row r="529" s="326" customFormat="1" ht="16.5" hidden="1" customHeight="1" spans="1:16383">
      <c r="A529" s="365" t="s">
        <v>503</v>
      </c>
      <c r="B529" s="348"/>
      <c r="C529" s="348"/>
      <c r="D529" s="349"/>
      <c r="E529" s="348"/>
      <c r="F529" s="345"/>
      <c r="G529" s="346"/>
      <c r="H529" s="348"/>
      <c r="I529" s="345"/>
      <c r="J529" s="349"/>
      <c r="K529" s="325"/>
      <c r="L529" s="325">
        <f t="shared" si="34"/>
        <v>0</v>
      </c>
      <c r="O529" s="325"/>
      <c r="P529" s="363"/>
      <c r="Q529" s="363"/>
      <c r="R529" s="364"/>
      <c r="XFB529" s="332"/>
      <c r="XFC529" s="332"/>
    </row>
    <row r="530" s="326" customFormat="1" ht="16.5" customHeight="1" spans="1:18">
      <c r="A530" s="347" t="s">
        <v>504</v>
      </c>
      <c r="B530" s="348">
        <v>8031</v>
      </c>
      <c r="C530" s="348">
        <v>5889</v>
      </c>
      <c r="D530" s="349">
        <f>C530/B530*100</f>
        <v>73.328352633545</v>
      </c>
      <c r="E530" s="348">
        <v>6881</v>
      </c>
      <c r="F530" s="345">
        <f>C530-E530</f>
        <v>-992</v>
      </c>
      <c r="G530" s="346">
        <f>F530/E530*100</f>
        <v>-14.4165092283098</v>
      </c>
      <c r="H530" s="348">
        <f>SUM(H531:H539)</f>
        <v>6764.325112</v>
      </c>
      <c r="I530" s="345">
        <f>H530-B530</f>
        <v>-1266.674888</v>
      </c>
      <c r="J530" s="349">
        <f>I530/B530*100</f>
        <v>-15.7723183663305</v>
      </c>
      <c r="K530" s="325"/>
      <c r="L530" s="325">
        <f t="shared" si="34"/>
        <v>12653.325112</v>
      </c>
      <c r="O530" s="325"/>
      <c r="P530" s="363"/>
      <c r="Q530" s="363"/>
      <c r="R530" s="364"/>
    </row>
    <row r="531" ht="16.5" customHeight="1" spans="1:18">
      <c r="A531" s="365" t="s">
        <v>505</v>
      </c>
      <c r="B531" s="348"/>
      <c r="C531" s="348"/>
      <c r="D531" s="349"/>
      <c r="E531" s="348"/>
      <c r="F531" s="345"/>
      <c r="G531" s="346"/>
      <c r="H531" s="348">
        <v>3063</v>
      </c>
      <c r="I531" s="345"/>
      <c r="J531" s="349"/>
      <c r="K531" s="325"/>
      <c r="L531" s="325">
        <f t="shared" si="34"/>
        <v>3063</v>
      </c>
      <c r="O531" s="325"/>
      <c r="P531" s="363"/>
      <c r="Q531" s="363"/>
      <c r="R531" s="364"/>
    </row>
    <row r="532" ht="16.5" customHeight="1" spans="1:18">
      <c r="A532" s="365" t="s">
        <v>506</v>
      </c>
      <c r="B532" s="348"/>
      <c r="C532" s="348"/>
      <c r="D532" s="349"/>
      <c r="E532" s="348"/>
      <c r="F532" s="345"/>
      <c r="G532" s="346"/>
      <c r="H532" s="348">
        <v>980</v>
      </c>
      <c r="I532" s="345"/>
      <c r="J532" s="349"/>
      <c r="K532" s="325"/>
      <c r="L532" s="325">
        <f t="shared" si="34"/>
        <v>980</v>
      </c>
      <c r="O532" s="325"/>
      <c r="P532" s="363"/>
      <c r="Q532" s="363"/>
      <c r="R532" s="364"/>
    </row>
    <row r="533" ht="16.5" customHeight="1" spans="1:18">
      <c r="A533" s="365" t="s">
        <v>507</v>
      </c>
      <c r="B533" s="348"/>
      <c r="C533" s="348"/>
      <c r="D533" s="349"/>
      <c r="E533" s="348"/>
      <c r="F533" s="345"/>
      <c r="G533" s="346"/>
      <c r="H533" s="348">
        <v>959.212712</v>
      </c>
      <c r="I533" s="345"/>
      <c r="J533" s="349"/>
      <c r="K533" s="325"/>
      <c r="L533" s="325">
        <f t="shared" si="34"/>
        <v>959.212712</v>
      </c>
      <c r="O533" s="325"/>
      <c r="P533" s="363"/>
      <c r="Q533" s="363"/>
      <c r="R533" s="364"/>
    </row>
    <row r="534" ht="16.5" customHeight="1" spans="1:18">
      <c r="A534" s="365" t="s">
        <v>508</v>
      </c>
      <c r="B534" s="348"/>
      <c r="C534" s="348"/>
      <c r="D534" s="349"/>
      <c r="E534" s="348"/>
      <c r="F534" s="345"/>
      <c r="G534" s="346"/>
      <c r="H534" s="348">
        <v>932.1124</v>
      </c>
      <c r="I534" s="345"/>
      <c r="J534" s="349"/>
      <c r="K534" s="325"/>
      <c r="L534" s="325">
        <f t="shared" si="34"/>
        <v>932.1124</v>
      </c>
      <c r="O534" s="325"/>
      <c r="P534" s="363"/>
      <c r="Q534" s="363"/>
      <c r="R534" s="364"/>
    </row>
    <row r="535" ht="16.5" hidden="1" customHeight="1" spans="1:18">
      <c r="A535" s="365" t="s">
        <v>509</v>
      </c>
      <c r="B535" s="348"/>
      <c r="C535" s="348"/>
      <c r="D535" s="349"/>
      <c r="E535" s="348"/>
      <c r="F535" s="345"/>
      <c r="G535" s="346"/>
      <c r="H535" s="348">
        <v>0</v>
      </c>
      <c r="I535" s="345"/>
      <c r="J535" s="349"/>
      <c r="K535" s="325"/>
      <c r="L535" s="325">
        <f t="shared" si="34"/>
        <v>0</v>
      </c>
      <c r="O535" s="325"/>
      <c r="P535" s="363"/>
      <c r="Q535" s="363"/>
      <c r="R535" s="364"/>
    </row>
    <row r="536" ht="16.5" customHeight="1" spans="1:18">
      <c r="A536" s="365" t="s">
        <v>510</v>
      </c>
      <c r="B536" s="348"/>
      <c r="C536" s="348"/>
      <c r="D536" s="349"/>
      <c r="E536" s="348"/>
      <c r="F536" s="345"/>
      <c r="G536" s="346"/>
      <c r="H536" s="348">
        <v>405</v>
      </c>
      <c r="I536" s="345"/>
      <c r="J536" s="349"/>
      <c r="K536" s="325"/>
      <c r="L536" s="325">
        <f t="shared" si="34"/>
        <v>405</v>
      </c>
      <c r="O536" s="325"/>
      <c r="P536" s="363"/>
      <c r="Q536" s="363"/>
      <c r="R536" s="364"/>
    </row>
    <row r="537" ht="16.5" hidden="1" customHeight="1" spans="1:18">
      <c r="A537" s="365" t="s">
        <v>511</v>
      </c>
      <c r="B537" s="348"/>
      <c r="C537" s="348"/>
      <c r="D537" s="349"/>
      <c r="E537" s="348"/>
      <c r="F537" s="345"/>
      <c r="G537" s="346"/>
      <c r="H537" s="348">
        <v>0</v>
      </c>
      <c r="I537" s="345"/>
      <c r="J537" s="349"/>
      <c r="K537" s="325"/>
      <c r="L537" s="325">
        <f t="shared" si="34"/>
        <v>0</v>
      </c>
      <c r="O537" s="325"/>
      <c r="P537" s="363"/>
      <c r="Q537" s="363"/>
      <c r="R537" s="364"/>
    </row>
    <row r="538" ht="16.5" customHeight="1" spans="1:18">
      <c r="A538" s="365" t="s">
        <v>512</v>
      </c>
      <c r="B538" s="348"/>
      <c r="C538" s="348"/>
      <c r="D538" s="349"/>
      <c r="E538" s="348"/>
      <c r="F538" s="345"/>
      <c r="G538" s="346"/>
      <c r="H538" s="348">
        <v>315</v>
      </c>
      <c r="I538" s="345"/>
      <c r="J538" s="349"/>
      <c r="K538" s="325"/>
      <c r="L538" s="325">
        <f t="shared" si="34"/>
        <v>315</v>
      </c>
      <c r="O538" s="325"/>
      <c r="P538" s="363"/>
      <c r="Q538" s="363"/>
      <c r="R538" s="364"/>
    </row>
    <row r="539" ht="16.5" customHeight="1" spans="1:18">
      <c r="A539" s="365" t="s">
        <v>513</v>
      </c>
      <c r="B539" s="348"/>
      <c r="C539" s="348"/>
      <c r="D539" s="349"/>
      <c r="E539" s="348"/>
      <c r="F539" s="345"/>
      <c r="G539" s="346"/>
      <c r="H539" s="348">
        <v>110</v>
      </c>
      <c r="I539" s="345"/>
      <c r="J539" s="349"/>
      <c r="K539" s="325"/>
      <c r="L539" s="325">
        <f t="shared" si="34"/>
        <v>110</v>
      </c>
      <c r="O539" s="325"/>
      <c r="P539" s="363"/>
      <c r="Q539" s="363"/>
      <c r="R539" s="364"/>
    </row>
    <row r="540" s="326" customFormat="1" ht="16.5" customHeight="1" spans="1:18">
      <c r="A540" s="347" t="s">
        <v>514</v>
      </c>
      <c r="B540" s="348">
        <v>951</v>
      </c>
      <c r="C540" s="348">
        <v>1389</v>
      </c>
      <c r="D540" s="349">
        <f>C540/B540*100</f>
        <v>146.056782334385</v>
      </c>
      <c r="E540" s="348">
        <v>1289</v>
      </c>
      <c r="F540" s="345">
        <f>C540-E540</f>
        <v>100</v>
      </c>
      <c r="G540" s="346">
        <f>F540/E540*100</f>
        <v>7.75795190069821</v>
      </c>
      <c r="H540" s="348">
        <f>SUM(H541:H548)</f>
        <v>736.07</v>
      </c>
      <c r="I540" s="345">
        <f>H540-B540</f>
        <v>-214.93</v>
      </c>
      <c r="J540" s="349">
        <f>I540/B540*100</f>
        <v>-22.6004206098843</v>
      </c>
      <c r="K540" s="325"/>
      <c r="L540" s="325">
        <f t="shared" si="34"/>
        <v>2125.07</v>
      </c>
      <c r="O540" s="325"/>
      <c r="P540" s="363"/>
      <c r="Q540" s="363"/>
      <c r="R540" s="364"/>
    </row>
    <row r="541" ht="16.5" customHeight="1" spans="1:18">
      <c r="A541" s="365" t="s">
        <v>515</v>
      </c>
      <c r="B541" s="348"/>
      <c r="C541" s="348"/>
      <c r="D541" s="349"/>
      <c r="E541" s="348"/>
      <c r="F541" s="345"/>
      <c r="G541" s="346"/>
      <c r="H541" s="348">
        <v>0.57</v>
      </c>
      <c r="I541" s="345"/>
      <c r="J541" s="349"/>
      <c r="K541" s="325"/>
      <c r="L541" s="325">
        <f t="shared" si="34"/>
        <v>0.57</v>
      </c>
      <c r="O541" s="325"/>
      <c r="P541" s="363"/>
      <c r="Q541" s="363"/>
      <c r="R541" s="364"/>
    </row>
    <row r="542" ht="16.5" customHeight="1" spans="1:18">
      <c r="A542" s="365" t="s">
        <v>516</v>
      </c>
      <c r="B542" s="348"/>
      <c r="C542" s="348"/>
      <c r="D542" s="349"/>
      <c r="E542" s="348"/>
      <c r="F542" s="345"/>
      <c r="G542" s="346"/>
      <c r="H542" s="348">
        <v>184</v>
      </c>
      <c r="I542" s="345"/>
      <c r="J542" s="349"/>
      <c r="K542" s="325"/>
      <c r="L542" s="325">
        <f t="shared" si="34"/>
        <v>184</v>
      </c>
      <c r="O542" s="325"/>
      <c r="P542" s="363"/>
      <c r="Q542" s="363"/>
      <c r="R542" s="364"/>
    </row>
    <row r="543" ht="16.5" hidden="1" customHeight="1" spans="1:18">
      <c r="A543" s="365" t="s">
        <v>517</v>
      </c>
      <c r="B543" s="348"/>
      <c r="C543" s="348"/>
      <c r="D543" s="349"/>
      <c r="E543" s="348"/>
      <c r="F543" s="345"/>
      <c r="G543" s="346"/>
      <c r="H543" s="348">
        <v>0</v>
      </c>
      <c r="I543" s="345"/>
      <c r="J543" s="349"/>
      <c r="K543" s="325"/>
      <c r="L543" s="325">
        <f t="shared" si="34"/>
        <v>0</v>
      </c>
      <c r="O543" s="325"/>
      <c r="P543" s="363"/>
      <c r="Q543" s="363"/>
      <c r="R543" s="364"/>
    </row>
    <row r="544" ht="16.5" customHeight="1" spans="1:18">
      <c r="A544" s="365" t="s">
        <v>518</v>
      </c>
      <c r="B544" s="348"/>
      <c r="C544" s="348"/>
      <c r="D544" s="349"/>
      <c r="E544" s="348"/>
      <c r="F544" s="345"/>
      <c r="G544" s="346"/>
      <c r="H544" s="348">
        <v>49</v>
      </c>
      <c r="I544" s="345"/>
      <c r="J544" s="349"/>
      <c r="K544" s="325"/>
      <c r="L544" s="325">
        <f t="shared" si="34"/>
        <v>49</v>
      </c>
      <c r="O544" s="325"/>
      <c r="P544" s="363"/>
      <c r="Q544" s="363"/>
      <c r="R544" s="364"/>
    </row>
    <row r="545" ht="16.5" hidden="1" customHeight="1" spans="1:18">
      <c r="A545" s="365" t="s">
        <v>519</v>
      </c>
      <c r="B545" s="348"/>
      <c r="C545" s="348"/>
      <c r="D545" s="349"/>
      <c r="E545" s="348"/>
      <c r="F545" s="345"/>
      <c r="G545" s="346"/>
      <c r="H545" s="348">
        <v>0</v>
      </c>
      <c r="I545" s="345"/>
      <c r="J545" s="349"/>
      <c r="K545" s="325"/>
      <c r="L545" s="325">
        <f t="shared" si="34"/>
        <v>0</v>
      </c>
      <c r="O545" s="325"/>
      <c r="P545" s="363"/>
      <c r="Q545" s="363"/>
      <c r="R545" s="364"/>
    </row>
    <row r="546" ht="16.5" hidden="1" customHeight="1" spans="1:18">
      <c r="A546" s="365" t="s">
        <v>520</v>
      </c>
      <c r="B546" s="348"/>
      <c r="C546" s="348"/>
      <c r="D546" s="349"/>
      <c r="E546" s="348"/>
      <c r="F546" s="345"/>
      <c r="G546" s="346"/>
      <c r="H546" s="348">
        <v>0</v>
      </c>
      <c r="I546" s="345"/>
      <c r="J546" s="349"/>
      <c r="K546" s="325"/>
      <c r="L546" s="325">
        <f t="shared" si="34"/>
        <v>0</v>
      </c>
      <c r="O546" s="325"/>
      <c r="P546" s="363"/>
      <c r="Q546" s="363"/>
      <c r="R546" s="364"/>
    </row>
    <row r="547" ht="16.5" customHeight="1" spans="1:18">
      <c r="A547" s="365" t="s">
        <v>521</v>
      </c>
      <c r="B547" s="348"/>
      <c r="C547" s="348"/>
      <c r="D547" s="349"/>
      <c r="E547" s="348"/>
      <c r="F547" s="345"/>
      <c r="G547" s="346"/>
      <c r="H547" s="348">
        <v>1</v>
      </c>
      <c r="I547" s="345"/>
      <c r="J547" s="349"/>
      <c r="K547" s="325"/>
      <c r="L547" s="325">
        <f t="shared" si="34"/>
        <v>1</v>
      </c>
      <c r="O547" s="325"/>
      <c r="P547" s="363"/>
      <c r="Q547" s="363"/>
      <c r="R547" s="364"/>
    </row>
    <row r="548" ht="16.5" customHeight="1" spans="1:18">
      <c r="A548" s="365" t="s">
        <v>522</v>
      </c>
      <c r="B548" s="348"/>
      <c r="C548" s="348"/>
      <c r="D548" s="349"/>
      <c r="E548" s="348"/>
      <c r="F548" s="345"/>
      <c r="G548" s="346"/>
      <c r="H548" s="348">
        <v>501.5</v>
      </c>
      <c r="I548" s="345"/>
      <c r="J548" s="349"/>
      <c r="K548" s="325"/>
      <c r="L548" s="325">
        <f t="shared" si="34"/>
        <v>501.5</v>
      </c>
      <c r="O548" s="325"/>
      <c r="P548" s="363"/>
      <c r="Q548" s="363"/>
      <c r="R548" s="364"/>
    </row>
    <row r="549" s="326" customFormat="1" ht="16.5" customHeight="1" spans="1:18">
      <c r="A549" s="347" t="s">
        <v>523</v>
      </c>
      <c r="B549" s="348">
        <v>1381</v>
      </c>
      <c r="C549" s="348">
        <v>1426</v>
      </c>
      <c r="D549" s="349">
        <f>C549/B549*100</f>
        <v>103.258508327299</v>
      </c>
      <c r="E549" s="348">
        <v>1169</v>
      </c>
      <c r="F549" s="345">
        <f>C549-E549</f>
        <v>257</v>
      </c>
      <c r="G549" s="346">
        <f>F549/E549*100</f>
        <v>21.9846022241232</v>
      </c>
      <c r="H549" s="348">
        <f>SUM(H550:H555)</f>
        <v>1180.216589</v>
      </c>
      <c r="I549" s="345">
        <f>H549-B549</f>
        <v>-200.783411</v>
      </c>
      <c r="J549" s="349">
        <f>I549/B549*100</f>
        <v>-14.538987038378</v>
      </c>
      <c r="K549" s="325"/>
      <c r="L549" s="325">
        <f t="shared" si="34"/>
        <v>2606.216589</v>
      </c>
      <c r="O549" s="325"/>
      <c r="P549" s="363"/>
      <c r="Q549" s="363"/>
      <c r="R549" s="364"/>
    </row>
    <row r="550" ht="16.5" customHeight="1" spans="1:18">
      <c r="A550" s="347" t="s">
        <v>524</v>
      </c>
      <c r="B550" s="348"/>
      <c r="C550" s="348"/>
      <c r="D550" s="349"/>
      <c r="E550" s="348"/>
      <c r="F550" s="345"/>
      <c r="G550" s="346"/>
      <c r="H550" s="348">
        <v>10.9</v>
      </c>
      <c r="I550" s="345"/>
      <c r="J550" s="349"/>
      <c r="K550" s="325"/>
      <c r="L550" s="325">
        <f t="shared" si="34"/>
        <v>10.9</v>
      </c>
      <c r="O550" s="325"/>
      <c r="P550" s="363"/>
      <c r="Q550" s="363"/>
      <c r="R550" s="364"/>
    </row>
    <row r="551" ht="16.5" customHeight="1" spans="1:18">
      <c r="A551" s="347" t="s">
        <v>525</v>
      </c>
      <c r="B551" s="348"/>
      <c r="C551" s="348"/>
      <c r="D551" s="349"/>
      <c r="E551" s="348"/>
      <c r="F551" s="345"/>
      <c r="G551" s="346"/>
      <c r="H551" s="348">
        <v>424.518057</v>
      </c>
      <c r="I551" s="345"/>
      <c r="J551" s="349"/>
      <c r="K551" s="325"/>
      <c r="L551" s="325">
        <f t="shared" si="34"/>
        <v>424.518057</v>
      </c>
      <c r="O551" s="325"/>
      <c r="P551" s="363"/>
      <c r="Q551" s="363"/>
      <c r="R551" s="364"/>
    </row>
    <row r="552" ht="16.5" customHeight="1" spans="1:18">
      <c r="A552" s="347" t="s">
        <v>526</v>
      </c>
      <c r="B552" s="348"/>
      <c r="C552" s="348"/>
      <c r="D552" s="349"/>
      <c r="E552" s="348"/>
      <c r="F552" s="345"/>
      <c r="G552" s="346"/>
      <c r="H552" s="348">
        <v>144.728532</v>
      </c>
      <c r="I552" s="345"/>
      <c r="J552" s="349"/>
      <c r="K552" s="325"/>
      <c r="L552" s="325">
        <f t="shared" si="34"/>
        <v>144.728532</v>
      </c>
      <c r="O552" s="325"/>
      <c r="P552" s="363"/>
      <c r="Q552" s="363"/>
      <c r="R552" s="364"/>
    </row>
    <row r="553" ht="16.5" hidden="1" customHeight="1" spans="1:18">
      <c r="A553" s="347" t="s">
        <v>527</v>
      </c>
      <c r="B553" s="348"/>
      <c r="C553" s="348"/>
      <c r="D553" s="349"/>
      <c r="E553" s="348"/>
      <c r="F553" s="345"/>
      <c r="G553" s="346"/>
      <c r="H553" s="348">
        <v>0</v>
      </c>
      <c r="I553" s="345"/>
      <c r="J553" s="349"/>
      <c r="K553" s="325"/>
      <c r="L553" s="325">
        <f t="shared" si="34"/>
        <v>0</v>
      </c>
      <c r="O553" s="325"/>
      <c r="P553" s="363"/>
      <c r="Q553" s="363"/>
      <c r="R553" s="364"/>
    </row>
    <row r="554" ht="16.5" customHeight="1" spans="1:18">
      <c r="A554" s="347" t="s">
        <v>528</v>
      </c>
      <c r="B554" s="348"/>
      <c r="C554" s="348"/>
      <c r="D554" s="349"/>
      <c r="E554" s="348"/>
      <c r="F554" s="345"/>
      <c r="G554" s="346"/>
      <c r="H554" s="348">
        <v>600.07</v>
      </c>
      <c r="I554" s="345"/>
      <c r="J554" s="349"/>
      <c r="K554" s="325"/>
      <c r="L554" s="325">
        <f t="shared" si="34"/>
        <v>600.07</v>
      </c>
      <c r="O554" s="325"/>
      <c r="P554" s="363"/>
      <c r="Q554" s="363"/>
      <c r="R554" s="364"/>
    </row>
    <row r="555" ht="16.5" hidden="1" customHeight="1" spans="1:18">
      <c r="A555" s="347" t="s">
        <v>529</v>
      </c>
      <c r="B555" s="348"/>
      <c r="C555" s="348"/>
      <c r="D555" s="349"/>
      <c r="E555" s="348"/>
      <c r="F555" s="345"/>
      <c r="G555" s="346"/>
      <c r="H555" s="348">
        <v>0</v>
      </c>
      <c r="I555" s="345"/>
      <c r="J555" s="349"/>
      <c r="K555" s="325"/>
      <c r="L555" s="325">
        <f t="shared" si="34"/>
        <v>0</v>
      </c>
      <c r="O555" s="325"/>
      <c r="P555" s="363"/>
      <c r="Q555" s="363"/>
      <c r="R555" s="364"/>
    </row>
    <row r="556" s="326" customFormat="1" ht="16.5" customHeight="1" spans="1:18">
      <c r="A556" s="347" t="s">
        <v>530</v>
      </c>
      <c r="B556" s="348">
        <v>4466</v>
      </c>
      <c r="C556" s="348">
        <v>2178</v>
      </c>
      <c r="D556" s="349">
        <f>C556/B556*100</f>
        <v>48.7684729064039</v>
      </c>
      <c r="E556" s="348">
        <v>6470</v>
      </c>
      <c r="F556" s="345">
        <f>C556-E556</f>
        <v>-4292</v>
      </c>
      <c r="G556" s="346">
        <f>F556/E556*100</f>
        <v>-66.3369397217929</v>
      </c>
      <c r="H556" s="348">
        <f>SUM(H557:H563)</f>
        <v>4533.948721</v>
      </c>
      <c r="I556" s="345">
        <f>H556-B556</f>
        <v>67.9487210000007</v>
      </c>
      <c r="J556" s="349">
        <f>I556/B556*100</f>
        <v>1.52146710703091</v>
      </c>
      <c r="K556" s="325"/>
      <c r="L556" s="325">
        <f t="shared" si="34"/>
        <v>6711.948721</v>
      </c>
      <c r="O556" s="325"/>
      <c r="P556" s="363"/>
      <c r="Q556" s="363"/>
      <c r="R556" s="364"/>
    </row>
    <row r="557" ht="16.5" customHeight="1" spans="1:18">
      <c r="A557" s="347" t="s">
        <v>531</v>
      </c>
      <c r="B557" s="348"/>
      <c r="C557" s="348"/>
      <c r="D557" s="349"/>
      <c r="E557" s="348"/>
      <c r="F557" s="345"/>
      <c r="G557" s="346"/>
      <c r="H557" s="348">
        <v>1365.76225</v>
      </c>
      <c r="I557" s="345"/>
      <c r="J557" s="349"/>
      <c r="K557" s="325"/>
      <c r="L557" s="325">
        <f t="shared" si="34"/>
        <v>1365.76225</v>
      </c>
      <c r="O557" s="325"/>
      <c r="P557" s="363"/>
      <c r="Q557" s="363"/>
      <c r="R557" s="364"/>
    </row>
    <row r="558" ht="16.5" customHeight="1" spans="1:18">
      <c r="A558" s="347" t="s">
        <v>532</v>
      </c>
      <c r="B558" s="348"/>
      <c r="C558" s="348"/>
      <c r="D558" s="349"/>
      <c r="E558" s="348"/>
      <c r="F558" s="345"/>
      <c r="G558" s="346"/>
      <c r="H558" s="348">
        <v>86</v>
      </c>
      <c r="I558" s="345"/>
      <c r="J558" s="349"/>
      <c r="K558" s="325"/>
      <c r="L558" s="325">
        <f t="shared" si="34"/>
        <v>86</v>
      </c>
      <c r="O558" s="325"/>
      <c r="P558" s="363"/>
      <c r="Q558" s="363"/>
      <c r="R558" s="364"/>
    </row>
    <row r="559" ht="16.5" hidden="1" customHeight="1" spans="1:18">
      <c r="A559" s="347" t="s">
        <v>533</v>
      </c>
      <c r="B559" s="348"/>
      <c r="C559" s="348"/>
      <c r="D559" s="349"/>
      <c r="E559" s="348"/>
      <c r="F559" s="345"/>
      <c r="G559" s="346"/>
      <c r="H559" s="348">
        <v>0</v>
      </c>
      <c r="I559" s="345"/>
      <c r="J559" s="349"/>
      <c r="K559" s="325"/>
      <c r="L559" s="325">
        <f t="shared" si="34"/>
        <v>0</v>
      </c>
      <c r="O559" s="325"/>
      <c r="P559" s="363"/>
      <c r="Q559" s="363"/>
      <c r="R559" s="364"/>
    </row>
    <row r="560" ht="16.5" customHeight="1" spans="1:18">
      <c r="A560" s="347" t="s">
        <v>534</v>
      </c>
      <c r="B560" s="348"/>
      <c r="C560" s="348"/>
      <c r="D560" s="349"/>
      <c r="E560" s="348"/>
      <c r="F560" s="345"/>
      <c r="G560" s="346"/>
      <c r="H560" s="348">
        <v>1097.729553</v>
      </c>
      <c r="I560" s="345"/>
      <c r="J560" s="349"/>
      <c r="K560" s="325"/>
      <c r="L560" s="325">
        <f t="shared" si="34"/>
        <v>1097.729553</v>
      </c>
      <c r="O560" s="325"/>
      <c r="P560" s="363"/>
      <c r="Q560" s="363"/>
      <c r="R560" s="364"/>
    </row>
    <row r="561" ht="16.5" customHeight="1" spans="1:18">
      <c r="A561" s="347" t="s">
        <v>535</v>
      </c>
      <c r="B561" s="348"/>
      <c r="C561" s="348"/>
      <c r="D561" s="349"/>
      <c r="E561" s="348"/>
      <c r="F561" s="345"/>
      <c r="G561" s="346"/>
      <c r="H561" s="348">
        <v>514.614894</v>
      </c>
      <c r="I561" s="345"/>
      <c r="J561" s="349"/>
      <c r="K561" s="325"/>
      <c r="L561" s="325">
        <f t="shared" si="34"/>
        <v>514.614894</v>
      </c>
      <c r="O561" s="325"/>
      <c r="P561" s="363"/>
      <c r="Q561" s="363"/>
      <c r="R561" s="364"/>
    </row>
    <row r="562" ht="16.5" hidden="1" customHeight="1" spans="1:18">
      <c r="A562" s="347" t="s">
        <v>536</v>
      </c>
      <c r="B562" s="348"/>
      <c r="C562" s="348"/>
      <c r="D562" s="349"/>
      <c r="E562" s="348"/>
      <c r="F562" s="345"/>
      <c r="G562" s="346"/>
      <c r="H562" s="348">
        <v>0</v>
      </c>
      <c r="I562" s="345"/>
      <c r="J562" s="349"/>
      <c r="K562" s="325"/>
      <c r="L562" s="325">
        <f t="shared" si="34"/>
        <v>0</v>
      </c>
      <c r="O562" s="325"/>
      <c r="P562" s="363"/>
      <c r="Q562" s="363"/>
      <c r="R562" s="364"/>
    </row>
    <row r="563" ht="16.5" customHeight="1" spans="1:18">
      <c r="A563" s="347" t="s">
        <v>537</v>
      </c>
      <c r="B563" s="348"/>
      <c r="C563" s="348"/>
      <c r="D563" s="349"/>
      <c r="E563" s="348"/>
      <c r="F563" s="345"/>
      <c r="G563" s="346"/>
      <c r="H563" s="348">
        <v>1469.842024</v>
      </c>
      <c r="I563" s="345"/>
      <c r="J563" s="349"/>
      <c r="K563" s="325"/>
      <c r="L563" s="325">
        <f t="shared" si="34"/>
        <v>1469.842024</v>
      </c>
      <c r="O563" s="325"/>
      <c r="P563" s="363"/>
      <c r="Q563" s="363"/>
      <c r="R563" s="364"/>
    </row>
    <row r="564" s="326" customFormat="1" ht="16.5" customHeight="1" spans="1:18">
      <c r="A564" s="347" t="s">
        <v>538</v>
      </c>
      <c r="B564" s="348">
        <v>1094</v>
      </c>
      <c r="C564" s="348">
        <v>1151</v>
      </c>
      <c r="D564" s="349">
        <f>C564/B564*100</f>
        <v>105.210237659963</v>
      </c>
      <c r="E564" s="348">
        <v>1131</v>
      </c>
      <c r="F564" s="345">
        <f>C564-E564</f>
        <v>20</v>
      </c>
      <c r="G564" s="346">
        <f>F564/E564*100</f>
        <v>1.7683465959328</v>
      </c>
      <c r="H564" s="348">
        <f>SUM(H565:H572)</f>
        <v>783.940511</v>
      </c>
      <c r="I564" s="345">
        <f>H564-B564</f>
        <v>-310.059489</v>
      </c>
      <c r="J564" s="349">
        <f>I564/B564*100</f>
        <v>-28.3418180073126</v>
      </c>
      <c r="K564" s="325"/>
      <c r="L564" s="325">
        <f t="shared" si="34"/>
        <v>1934.940511</v>
      </c>
      <c r="O564" s="325"/>
      <c r="P564" s="363"/>
      <c r="Q564" s="363"/>
      <c r="R564" s="364"/>
    </row>
    <row r="565" ht="16.5" customHeight="1" spans="1:18">
      <c r="A565" s="347" t="s">
        <v>155</v>
      </c>
      <c r="B565" s="348"/>
      <c r="C565" s="348"/>
      <c r="D565" s="349"/>
      <c r="E565" s="348"/>
      <c r="F565" s="345"/>
      <c r="G565" s="346"/>
      <c r="H565" s="348">
        <v>128.440102</v>
      </c>
      <c r="I565" s="345"/>
      <c r="J565" s="349"/>
      <c r="K565" s="325"/>
      <c r="L565" s="325">
        <f t="shared" si="34"/>
        <v>128.440102</v>
      </c>
      <c r="O565" s="325"/>
      <c r="P565" s="363"/>
      <c r="Q565" s="363"/>
      <c r="R565" s="364"/>
    </row>
    <row r="566" ht="16.5" hidden="1" customHeight="1" spans="1:18">
      <c r="A566" s="347" t="s">
        <v>156</v>
      </c>
      <c r="B566" s="348"/>
      <c r="C566" s="348"/>
      <c r="D566" s="349"/>
      <c r="E566" s="348"/>
      <c r="F566" s="345"/>
      <c r="G566" s="346"/>
      <c r="H566" s="348">
        <v>0</v>
      </c>
      <c r="I566" s="345"/>
      <c r="J566" s="349"/>
      <c r="K566" s="325"/>
      <c r="L566" s="325">
        <f t="shared" si="34"/>
        <v>0</v>
      </c>
      <c r="O566" s="325"/>
      <c r="P566" s="363"/>
      <c r="Q566" s="363"/>
      <c r="R566" s="364"/>
    </row>
    <row r="567" ht="16.5" hidden="1" customHeight="1" spans="1:18">
      <c r="A567" s="347" t="s">
        <v>157</v>
      </c>
      <c r="B567" s="348"/>
      <c r="C567" s="348"/>
      <c r="D567" s="349"/>
      <c r="E567" s="348"/>
      <c r="F567" s="345"/>
      <c r="G567" s="346"/>
      <c r="H567" s="348">
        <v>0</v>
      </c>
      <c r="I567" s="345"/>
      <c r="J567" s="349"/>
      <c r="K567" s="325"/>
      <c r="L567" s="325">
        <f t="shared" si="34"/>
        <v>0</v>
      </c>
      <c r="O567" s="325"/>
      <c r="P567" s="363"/>
      <c r="Q567" s="363"/>
      <c r="R567" s="364"/>
    </row>
    <row r="568" ht="16.5" customHeight="1" spans="1:18">
      <c r="A568" s="347" t="s">
        <v>539</v>
      </c>
      <c r="B568" s="348"/>
      <c r="C568" s="348"/>
      <c r="D568" s="349"/>
      <c r="E568" s="348"/>
      <c r="F568" s="345"/>
      <c r="G568" s="346"/>
      <c r="H568" s="348">
        <v>182.647</v>
      </c>
      <c r="I568" s="345"/>
      <c r="J568" s="349"/>
      <c r="K568" s="325"/>
      <c r="L568" s="325">
        <f t="shared" si="34"/>
        <v>182.647</v>
      </c>
      <c r="O568" s="325"/>
      <c r="P568" s="363"/>
      <c r="Q568" s="363"/>
      <c r="R568" s="364"/>
    </row>
    <row r="569" ht="16.5" customHeight="1" spans="1:18">
      <c r="A569" s="347" t="s">
        <v>540</v>
      </c>
      <c r="B569" s="348"/>
      <c r="C569" s="348"/>
      <c r="D569" s="349"/>
      <c r="E569" s="348"/>
      <c r="F569" s="345"/>
      <c r="G569" s="346"/>
      <c r="H569" s="348">
        <v>55.6</v>
      </c>
      <c r="I569" s="345"/>
      <c r="J569" s="349"/>
      <c r="K569" s="325"/>
      <c r="L569" s="325">
        <f t="shared" si="34"/>
        <v>55.6</v>
      </c>
      <c r="O569" s="325"/>
      <c r="P569" s="363"/>
      <c r="Q569" s="363"/>
      <c r="R569" s="364"/>
    </row>
    <row r="570" ht="16.5" hidden="1" customHeight="1" spans="1:18">
      <c r="A570" s="347" t="s">
        <v>541</v>
      </c>
      <c r="B570" s="348"/>
      <c r="C570" s="348"/>
      <c r="D570" s="349"/>
      <c r="E570" s="348"/>
      <c r="F570" s="345"/>
      <c r="G570" s="346"/>
      <c r="H570" s="348">
        <v>0</v>
      </c>
      <c r="I570" s="345"/>
      <c r="J570" s="349"/>
      <c r="K570" s="325"/>
      <c r="L570" s="325">
        <f t="shared" si="34"/>
        <v>0</v>
      </c>
      <c r="O570" s="325"/>
      <c r="P570" s="363"/>
      <c r="Q570" s="363"/>
      <c r="R570" s="364"/>
    </row>
    <row r="571" ht="16.5" hidden="1" customHeight="1" spans="1:18">
      <c r="A571" s="347" t="s">
        <v>542</v>
      </c>
      <c r="B571" s="348"/>
      <c r="C571" s="348"/>
      <c r="D571" s="349"/>
      <c r="E571" s="348"/>
      <c r="F571" s="345"/>
      <c r="G571" s="346"/>
      <c r="H571" s="348">
        <v>0</v>
      </c>
      <c r="I571" s="345"/>
      <c r="J571" s="349"/>
      <c r="K571" s="325"/>
      <c r="L571" s="325">
        <f t="shared" si="34"/>
        <v>0</v>
      </c>
      <c r="O571" s="325"/>
      <c r="P571" s="363"/>
      <c r="Q571" s="363"/>
      <c r="R571" s="364"/>
    </row>
    <row r="572" ht="16.5" customHeight="1" spans="1:18">
      <c r="A572" s="347" t="s">
        <v>543</v>
      </c>
      <c r="B572" s="348"/>
      <c r="C572" s="348"/>
      <c r="D572" s="349"/>
      <c r="E572" s="348"/>
      <c r="F572" s="345"/>
      <c r="G572" s="346"/>
      <c r="H572" s="348">
        <v>417.253409</v>
      </c>
      <c r="I572" s="345"/>
      <c r="J572" s="349"/>
      <c r="K572" s="325"/>
      <c r="L572" s="325">
        <f t="shared" si="34"/>
        <v>417.253409</v>
      </c>
      <c r="O572" s="325"/>
      <c r="P572" s="363"/>
      <c r="Q572" s="363"/>
      <c r="R572" s="364"/>
    </row>
    <row r="573" s="326" customFormat="1" ht="16.5" customHeight="1" spans="1:18">
      <c r="A573" s="347" t="s">
        <v>544</v>
      </c>
      <c r="B573" s="348">
        <v>81</v>
      </c>
      <c r="C573" s="348">
        <v>87</v>
      </c>
      <c r="D573" s="349">
        <f>C573/B573*100</f>
        <v>107.407407407407</v>
      </c>
      <c r="E573" s="348">
        <v>65</v>
      </c>
      <c r="F573" s="345">
        <f>C573-E573</f>
        <v>22</v>
      </c>
      <c r="G573" s="346">
        <f>F573/E573*100</f>
        <v>33.8461538461538</v>
      </c>
      <c r="H573" s="348">
        <f>SUM(H574:H578)</f>
        <v>57.927895</v>
      </c>
      <c r="I573" s="345">
        <f>H573-B573</f>
        <v>-23.072105</v>
      </c>
      <c r="J573" s="349">
        <f>I573/B573*100</f>
        <v>-28.4840802469136</v>
      </c>
      <c r="K573" s="325"/>
      <c r="L573" s="325">
        <f t="shared" si="34"/>
        <v>144.927895</v>
      </c>
      <c r="O573" s="325"/>
      <c r="P573" s="363"/>
      <c r="Q573" s="363"/>
      <c r="R573" s="364"/>
    </row>
    <row r="574" ht="16.5" customHeight="1" spans="1:18">
      <c r="A574" s="347" t="s">
        <v>155</v>
      </c>
      <c r="B574" s="348"/>
      <c r="C574" s="348"/>
      <c r="D574" s="349"/>
      <c r="E574" s="348"/>
      <c r="F574" s="345"/>
      <c r="G574" s="346"/>
      <c r="H574" s="348">
        <v>48.687895</v>
      </c>
      <c r="I574" s="345"/>
      <c r="J574" s="349"/>
      <c r="K574" s="325"/>
      <c r="L574" s="325">
        <f t="shared" si="34"/>
        <v>48.687895</v>
      </c>
      <c r="O574" s="325"/>
      <c r="P574" s="363"/>
      <c r="Q574" s="363"/>
      <c r="R574" s="364"/>
    </row>
    <row r="575" ht="16.5" hidden="1" customHeight="1" spans="1:18">
      <c r="A575" s="347" t="s">
        <v>156</v>
      </c>
      <c r="B575" s="348"/>
      <c r="C575" s="348"/>
      <c r="D575" s="349"/>
      <c r="E575" s="348"/>
      <c r="F575" s="345"/>
      <c r="G575" s="346"/>
      <c r="H575" s="348">
        <v>0</v>
      </c>
      <c r="I575" s="345"/>
      <c r="J575" s="349"/>
      <c r="K575" s="325"/>
      <c r="L575" s="325">
        <f t="shared" si="34"/>
        <v>0</v>
      </c>
      <c r="O575" s="325"/>
      <c r="P575" s="363"/>
      <c r="Q575" s="363"/>
      <c r="R575" s="364"/>
    </row>
    <row r="576" ht="16.5" hidden="1" customHeight="1" spans="1:18">
      <c r="A576" s="347" t="s">
        <v>157</v>
      </c>
      <c r="B576" s="348"/>
      <c r="C576" s="348"/>
      <c r="D576" s="349"/>
      <c r="E576" s="348"/>
      <c r="F576" s="345"/>
      <c r="G576" s="346"/>
      <c r="H576" s="348">
        <v>0</v>
      </c>
      <c r="I576" s="345"/>
      <c r="J576" s="349"/>
      <c r="K576" s="325"/>
      <c r="L576" s="325">
        <f t="shared" si="34"/>
        <v>0</v>
      </c>
      <c r="O576" s="325"/>
      <c r="P576" s="363"/>
      <c r="Q576" s="363"/>
      <c r="R576" s="364"/>
    </row>
    <row r="577" ht="16.5" hidden="1" customHeight="1" spans="1:18">
      <c r="A577" s="347" t="s">
        <v>164</v>
      </c>
      <c r="B577" s="348"/>
      <c r="C577" s="348"/>
      <c r="D577" s="349"/>
      <c r="E577" s="348"/>
      <c r="F577" s="345"/>
      <c r="G577" s="346"/>
      <c r="H577" s="348">
        <v>0</v>
      </c>
      <c r="I577" s="345"/>
      <c r="J577" s="349"/>
      <c r="K577" s="325"/>
      <c r="L577" s="325">
        <f t="shared" si="34"/>
        <v>0</v>
      </c>
      <c r="O577" s="325"/>
      <c r="P577" s="363"/>
      <c r="Q577" s="363"/>
      <c r="R577" s="364"/>
    </row>
    <row r="578" ht="16.5" customHeight="1" spans="1:18">
      <c r="A578" s="347" t="s">
        <v>545</v>
      </c>
      <c r="B578" s="348"/>
      <c r="C578" s="348"/>
      <c r="D578" s="349"/>
      <c r="E578" s="348"/>
      <c r="F578" s="345"/>
      <c r="G578" s="346"/>
      <c r="H578" s="348">
        <v>9.24</v>
      </c>
      <c r="I578" s="345"/>
      <c r="J578" s="349"/>
      <c r="K578" s="325"/>
      <c r="L578" s="325">
        <f t="shared" si="34"/>
        <v>9.24</v>
      </c>
      <c r="O578" s="325"/>
      <c r="P578" s="363"/>
      <c r="Q578" s="363"/>
      <c r="R578" s="364"/>
    </row>
    <row r="579" s="326" customFormat="1" ht="16.5" customHeight="1" spans="1:18">
      <c r="A579" s="347" t="s">
        <v>546</v>
      </c>
      <c r="B579" s="348">
        <v>60</v>
      </c>
      <c r="C579" s="348">
        <v>801</v>
      </c>
      <c r="D579" s="349">
        <f>C579/B579*100</f>
        <v>1335</v>
      </c>
      <c r="E579" s="348">
        <v>816</v>
      </c>
      <c r="F579" s="345">
        <f>C579-E579</f>
        <v>-15</v>
      </c>
      <c r="G579" s="346">
        <f>F579/E579*100</f>
        <v>-1.83823529411765</v>
      </c>
      <c r="H579" s="348">
        <f>SUM(H580:H581)</f>
        <v>20</v>
      </c>
      <c r="I579" s="345">
        <f>H579-B579</f>
        <v>-40</v>
      </c>
      <c r="J579" s="349">
        <f>I579/B579*100</f>
        <v>-66.6666666666667</v>
      </c>
      <c r="K579" s="325"/>
      <c r="L579" s="325">
        <f t="shared" si="34"/>
        <v>821</v>
      </c>
      <c r="O579" s="325"/>
      <c r="P579" s="363"/>
      <c r="Q579" s="363"/>
      <c r="R579" s="364"/>
    </row>
    <row r="580" ht="16.5" customHeight="1" spans="1:18">
      <c r="A580" s="347" t="s">
        <v>547</v>
      </c>
      <c r="B580" s="348"/>
      <c r="C580" s="348"/>
      <c r="D580" s="349"/>
      <c r="E580" s="348"/>
      <c r="F580" s="345"/>
      <c r="G580" s="346"/>
      <c r="H580" s="348">
        <v>10</v>
      </c>
      <c r="I580" s="345"/>
      <c r="J580" s="349"/>
      <c r="K580" s="325"/>
      <c r="L580" s="325">
        <f t="shared" si="34"/>
        <v>10</v>
      </c>
      <c r="O580" s="325"/>
      <c r="P580" s="363"/>
      <c r="Q580" s="363"/>
      <c r="R580" s="364"/>
    </row>
    <row r="581" ht="16.5" customHeight="1" spans="1:18">
      <c r="A581" s="347" t="s">
        <v>548</v>
      </c>
      <c r="B581" s="348"/>
      <c r="C581" s="348"/>
      <c r="D581" s="349"/>
      <c r="E581" s="348"/>
      <c r="F581" s="345"/>
      <c r="G581" s="346"/>
      <c r="H581" s="348">
        <v>10</v>
      </c>
      <c r="I581" s="345"/>
      <c r="J581" s="349"/>
      <c r="K581" s="325"/>
      <c r="L581" s="325">
        <f t="shared" si="34"/>
        <v>10</v>
      </c>
      <c r="O581" s="325"/>
      <c r="P581" s="363"/>
      <c r="Q581" s="363"/>
      <c r="R581" s="364"/>
    </row>
    <row r="582" s="326" customFormat="1" ht="16.5" customHeight="1" spans="1:18">
      <c r="A582" s="347" t="s">
        <v>549</v>
      </c>
      <c r="B582" s="348">
        <v>317</v>
      </c>
      <c r="C582" s="348">
        <v>370</v>
      </c>
      <c r="D582" s="349">
        <f>C582/B582*100</f>
        <v>116.719242902208</v>
      </c>
      <c r="E582" s="348">
        <v>367</v>
      </c>
      <c r="F582" s="345">
        <f>C582-E582</f>
        <v>3</v>
      </c>
      <c r="G582" s="346">
        <f>F582/E582*100</f>
        <v>0.817438692098093</v>
      </c>
      <c r="H582" s="348">
        <f>SUM(H583:H584)</f>
        <v>331.20291</v>
      </c>
      <c r="I582" s="345">
        <f>H582-B582</f>
        <v>14.20291</v>
      </c>
      <c r="J582" s="349">
        <f>I582/B582*100</f>
        <v>4.48041324921135</v>
      </c>
      <c r="K582" s="325"/>
      <c r="L582" s="325">
        <f t="shared" si="34"/>
        <v>701.20291</v>
      </c>
      <c r="O582" s="325"/>
      <c r="P582" s="363"/>
      <c r="Q582" s="363"/>
      <c r="R582" s="364"/>
    </row>
    <row r="583" ht="16.5" customHeight="1" spans="1:18">
      <c r="A583" s="347" t="s">
        <v>550</v>
      </c>
      <c r="B583" s="348"/>
      <c r="C583" s="348"/>
      <c r="D583" s="349"/>
      <c r="E583" s="348"/>
      <c r="F583" s="345"/>
      <c r="G583" s="346"/>
      <c r="H583" s="348">
        <v>23</v>
      </c>
      <c r="I583" s="345"/>
      <c r="J583" s="349"/>
      <c r="K583" s="325"/>
      <c r="L583" s="325">
        <f t="shared" si="34"/>
        <v>23</v>
      </c>
      <c r="O583" s="325"/>
      <c r="P583" s="363"/>
      <c r="Q583" s="363"/>
      <c r="R583" s="364"/>
    </row>
    <row r="584" ht="16.5" customHeight="1" spans="1:18">
      <c r="A584" s="347" t="s">
        <v>551</v>
      </c>
      <c r="B584" s="348"/>
      <c r="C584" s="348"/>
      <c r="D584" s="349"/>
      <c r="E584" s="348"/>
      <c r="F584" s="345"/>
      <c r="G584" s="346"/>
      <c r="H584" s="348">
        <v>308.20291</v>
      </c>
      <c r="I584" s="345"/>
      <c r="J584" s="349"/>
      <c r="K584" s="325"/>
      <c r="L584" s="325">
        <f t="shared" ref="L584:L647" si="35">C584+H584</f>
        <v>308.20291</v>
      </c>
      <c r="O584" s="325"/>
      <c r="P584" s="363"/>
      <c r="Q584" s="363"/>
      <c r="R584" s="364"/>
    </row>
    <row r="585" s="326" customFormat="1" ht="16.5" customHeight="1" spans="1:18">
      <c r="A585" s="347" t="s">
        <v>552</v>
      </c>
      <c r="B585" s="348">
        <v>61</v>
      </c>
      <c r="C585" s="348">
        <v>276</v>
      </c>
      <c r="D585" s="349">
        <f>C585/B585*100</f>
        <v>452.459016393443</v>
      </c>
      <c r="E585" s="348">
        <v>277</v>
      </c>
      <c r="F585" s="345">
        <f>C585-E585</f>
        <v>-1</v>
      </c>
      <c r="G585" s="346">
        <f>F585/E585*100</f>
        <v>-0.36101083032491</v>
      </c>
      <c r="H585" s="348">
        <f>SUM(H586:H587)</f>
        <v>19</v>
      </c>
      <c r="I585" s="345">
        <f>H585-B585</f>
        <v>-42</v>
      </c>
      <c r="J585" s="349">
        <f>I585/B585*100</f>
        <v>-68.8524590163934</v>
      </c>
      <c r="K585" s="325"/>
      <c r="L585" s="325">
        <f t="shared" si="35"/>
        <v>295</v>
      </c>
      <c r="O585" s="325"/>
      <c r="P585" s="363"/>
      <c r="Q585" s="363"/>
      <c r="R585" s="364"/>
    </row>
    <row r="586" ht="16.5" hidden="1" customHeight="1" spans="1:18">
      <c r="A586" s="347" t="s">
        <v>553</v>
      </c>
      <c r="B586" s="348"/>
      <c r="C586" s="348"/>
      <c r="D586" s="349"/>
      <c r="E586" s="348"/>
      <c r="F586" s="345"/>
      <c r="G586" s="346"/>
      <c r="H586" s="348">
        <v>0</v>
      </c>
      <c r="I586" s="345"/>
      <c r="J586" s="349"/>
      <c r="K586" s="325"/>
      <c r="L586" s="325">
        <f t="shared" si="35"/>
        <v>0</v>
      </c>
      <c r="O586" s="325"/>
      <c r="P586" s="363"/>
      <c r="Q586" s="363"/>
      <c r="R586" s="364"/>
    </row>
    <row r="587" ht="16.5" customHeight="1" spans="1:18">
      <c r="A587" s="347" t="s">
        <v>554</v>
      </c>
      <c r="B587" s="348"/>
      <c r="C587" s="348"/>
      <c r="D587" s="349"/>
      <c r="E587" s="348"/>
      <c r="F587" s="345"/>
      <c r="G587" s="346"/>
      <c r="H587" s="348">
        <v>19</v>
      </c>
      <c r="I587" s="345"/>
      <c r="J587" s="349"/>
      <c r="K587" s="325"/>
      <c r="L587" s="325">
        <f t="shared" si="35"/>
        <v>19</v>
      </c>
      <c r="O587" s="325"/>
      <c r="P587" s="363"/>
      <c r="Q587" s="363"/>
      <c r="R587" s="364"/>
    </row>
    <row r="588" s="326" customFormat="1" ht="16.5" hidden="1" customHeight="1" spans="1:18">
      <c r="A588" s="347" t="s">
        <v>555</v>
      </c>
      <c r="B588" s="348"/>
      <c r="C588" s="348"/>
      <c r="D588" s="349"/>
      <c r="E588" s="348"/>
      <c r="F588" s="345">
        <f>C588-E588</f>
        <v>0</v>
      </c>
      <c r="G588" s="346"/>
      <c r="H588" s="348"/>
      <c r="I588" s="345">
        <f>H588-B588</f>
        <v>0</v>
      </c>
      <c r="J588" s="349"/>
      <c r="K588" s="325"/>
      <c r="L588" s="325">
        <f t="shared" si="35"/>
        <v>0</v>
      </c>
      <c r="O588" s="325"/>
      <c r="P588" s="363"/>
      <c r="Q588" s="363"/>
      <c r="R588" s="364"/>
    </row>
    <row r="589" ht="16.5" hidden="1" customHeight="1" spans="1:18">
      <c r="A589" s="347" t="s">
        <v>556</v>
      </c>
      <c r="B589" s="348"/>
      <c r="C589" s="348"/>
      <c r="D589" s="349"/>
      <c r="E589" s="348"/>
      <c r="F589" s="345"/>
      <c r="G589" s="346"/>
      <c r="H589" s="348"/>
      <c r="I589" s="345"/>
      <c r="J589" s="349"/>
      <c r="K589" s="325"/>
      <c r="L589" s="325">
        <f t="shared" si="35"/>
        <v>0</v>
      </c>
      <c r="O589" s="325"/>
      <c r="P589" s="363"/>
      <c r="Q589" s="363"/>
      <c r="R589" s="364"/>
    </row>
    <row r="590" ht="16.5" hidden="1" customHeight="1" spans="1:18">
      <c r="A590" s="347" t="s">
        <v>557</v>
      </c>
      <c r="B590" s="348"/>
      <c r="C590" s="348"/>
      <c r="D590" s="349"/>
      <c r="E590" s="348"/>
      <c r="F590" s="345"/>
      <c r="G590" s="346"/>
      <c r="H590" s="348"/>
      <c r="I590" s="345"/>
      <c r="J590" s="349"/>
      <c r="K590" s="325"/>
      <c r="L590" s="325">
        <f t="shared" si="35"/>
        <v>0</v>
      </c>
      <c r="O590" s="325"/>
      <c r="P590" s="363"/>
      <c r="Q590" s="363"/>
      <c r="R590" s="364"/>
    </row>
    <row r="591" s="326" customFormat="1" ht="16.5" hidden="1" customHeight="1" spans="1:18">
      <c r="A591" s="347" t="s">
        <v>558</v>
      </c>
      <c r="B591" s="348"/>
      <c r="C591" s="348"/>
      <c r="D591" s="349"/>
      <c r="E591" s="348">
        <v>72</v>
      </c>
      <c r="F591" s="345">
        <f>C591-E591</f>
        <v>-72</v>
      </c>
      <c r="G591" s="346">
        <f>F591/E591*100</f>
        <v>-100</v>
      </c>
      <c r="H591" s="348">
        <f>SUM(H592:H593)</f>
        <v>0</v>
      </c>
      <c r="I591" s="345">
        <v>411</v>
      </c>
      <c r="J591" s="349">
        <v>2.78040860506021</v>
      </c>
      <c r="K591" s="325"/>
      <c r="L591" s="325">
        <f t="shared" si="35"/>
        <v>0</v>
      </c>
      <c r="O591" s="325"/>
      <c r="P591" s="363"/>
      <c r="Q591" s="363"/>
      <c r="R591" s="364"/>
    </row>
    <row r="592" ht="16.5" hidden="1" customHeight="1" spans="1:18">
      <c r="A592" s="347" t="s">
        <v>559</v>
      </c>
      <c r="B592" s="348"/>
      <c r="C592" s="348"/>
      <c r="D592" s="349"/>
      <c r="E592" s="348"/>
      <c r="F592" s="345"/>
      <c r="G592" s="346"/>
      <c r="H592" s="348"/>
      <c r="I592" s="345"/>
      <c r="J592" s="349"/>
      <c r="K592" s="325"/>
      <c r="L592" s="325">
        <f t="shared" si="35"/>
        <v>0</v>
      </c>
      <c r="O592" s="325"/>
      <c r="P592" s="363"/>
      <c r="Q592" s="363"/>
      <c r="R592" s="364"/>
    </row>
    <row r="593" ht="16.5" hidden="1" customHeight="1" spans="1:18">
      <c r="A593" s="347" t="s">
        <v>560</v>
      </c>
      <c r="B593" s="348"/>
      <c r="C593" s="348"/>
      <c r="D593" s="349"/>
      <c r="E593" s="348"/>
      <c r="F593" s="345"/>
      <c r="G593" s="346"/>
      <c r="H593" s="348"/>
      <c r="I593" s="345"/>
      <c r="J593" s="349"/>
      <c r="K593" s="325"/>
      <c r="L593" s="325">
        <f t="shared" si="35"/>
        <v>0</v>
      </c>
      <c r="O593" s="325"/>
      <c r="P593" s="363"/>
      <c r="Q593" s="363"/>
      <c r="R593" s="364"/>
    </row>
    <row r="594" s="326" customFormat="1" ht="16.5" customHeight="1" spans="1:18">
      <c r="A594" s="347" t="s">
        <v>561</v>
      </c>
      <c r="B594" s="348">
        <v>1463</v>
      </c>
      <c r="C594" s="348">
        <v>1899</v>
      </c>
      <c r="D594" s="349">
        <f>C594/B594*100</f>
        <v>129.801777170198</v>
      </c>
      <c r="E594" s="348">
        <v>250</v>
      </c>
      <c r="F594" s="345">
        <f>C594-E594</f>
        <v>1649</v>
      </c>
      <c r="G594" s="346">
        <f>F594/E594*100</f>
        <v>659.6</v>
      </c>
      <c r="H594" s="348">
        <f>SUM(H595:H597)</f>
        <v>1463</v>
      </c>
      <c r="I594" s="345">
        <f>H594-B594</f>
        <v>0</v>
      </c>
      <c r="J594" s="349">
        <f>I594/B594*100</f>
        <v>0</v>
      </c>
      <c r="K594" s="325"/>
      <c r="L594" s="325">
        <f t="shared" si="35"/>
        <v>3362</v>
      </c>
      <c r="O594" s="325"/>
      <c r="P594" s="363"/>
      <c r="Q594" s="363"/>
      <c r="R594" s="364"/>
    </row>
    <row r="595" ht="16.5" hidden="1" customHeight="1" spans="1:18">
      <c r="A595" s="347" t="s">
        <v>562</v>
      </c>
      <c r="B595" s="348"/>
      <c r="C595" s="348"/>
      <c r="D595" s="349"/>
      <c r="E595" s="348"/>
      <c r="F595" s="345"/>
      <c r="G595" s="346"/>
      <c r="H595" s="348">
        <v>0</v>
      </c>
      <c r="I595" s="345"/>
      <c r="J595" s="349"/>
      <c r="K595" s="325"/>
      <c r="L595" s="325">
        <f t="shared" si="35"/>
        <v>0</v>
      </c>
      <c r="O595" s="325"/>
      <c r="P595" s="363"/>
      <c r="Q595" s="363"/>
      <c r="R595" s="364"/>
    </row>
    <row r="596" ht="16.5" customHeight="1" spans="1:18">
      <c r="A596" s="347" t="s">
        <v>563</v>
      </c>
      <c r="B596" s="348"/>
      <c r="C596" s="348"/>
      <c r="D596" s="349"/>
      <c r="E596" s="348"/>
      <c r="F596" s="345"/>
      <c r="G596" s="346"/>
      <c r="H596" s="348">
        <v>1463</v>
      </c>
      <c r="I596" s="345"/>
      <c r="J596" s="349"/>
      <c r="K596" s="325"/>
      <c r="L596" s="325">
        <f t="shared" si="35"/>
        <v>1463</v>
      </c>
      <c r="O596" s="325"/>
      <c r="P596" s="363"/>
      <c r="Q596" s="363"/>
      <c r="R596" s="364"/>
    </row>
    <row r="597" ht="16.5" hidden="1" customHeight="1" spans="1:18">
      <c r="A597" s="347" t="s">
        <v>564</v>
      </c>
      <c r="B597" s="348"/>
      <c r="C597" s="348"/>
      <c r="D597" s="349"/>
      <c r="E597" s="348"/>
      <c r="F597" s="345"/>
      <c r="G597" s="346"/>
      <c r="H597" s="348">
        <v>0</v>
      </c>
      <c r="I597" s="345"/>
      <c r="J597" s="349"/>
      <c r="K597" s="325"/>
      <c r="L597" s="325">
        <f t="shared" si="35"/>
        <v>0</v>
      </c>
      <c r="O597" s="325"/>
      <c r="P597" s="363"/>
      <c r="Q597" s="363"/>
      <c r="R597" s="364"/>
    </row>
    <row r="598" s="326" customFormat="1" ht="16.5" hidden="1" customHeight="1" spans="1:18">
      <c r="A598" s="347" t="s">
        <v>565</v>
      </c>
      <c r="B598" s="348"/>
      <c r="C598" s="348"/>
      <c r="D598" s="349"/>
      <c r="E598" s="348"/>
      <c r="F598" s="345"/>
      <c r="G598" s="346"/>
      <c r="H598" s="348"/>
      <c r="I598" s="345"/>
      <c r="J598" s="349"/>
      <c r="K598" s="325"/>
      <c r="L598" s="325">
        <f t="shared" si="35"/>
        <v>0</v>
      </c>
      <c r="O598" s="325"/>
      <c r="P598" s="363"/>
      <c r="Q598" s="363"/>
      <c r="R598" s="364"/>
    </row>
    <row r="599" ht="16.5" hidden="1" customHeight="1" spans="1:18">
      <c r="A599" s="347" t="s">
        <v>566</v>
      </c>
      <c r="B599" s="348"/>
      <c r="C599" s="348"/>
      <c r="D599" s="349"/>
      <c r="E599" s="348"/>
      <c r="F599" s="345"/>
      <c r="G599" s="346"/>
      <c r="H599" s="348">
        <v>0</v>
      </c>
      <c r="I599" s="345"/>
      <c r="J599" s="349"/>
      <c r="K599" s="325"/>
      <c r="L599" s="325">
        <f t="shared" si="35"/>
        <v>0</v>
      </c>
      <c r="O599" s="325"/>
      <c r="P599" s="363"/>
      <c r="Q599" s="363"/>
      <c r="R599" s="364"/>
    </row>
    <row r="600" ht="16.5" hidden="1" customHeight="1" spans="1:18">
      <c r="A600" s="347" t="s">
        <v>567</v>
      </c>
      <c r="B600" s="348"/>
      <c r="C600" s="348"/>
      <c r="D600" s="349"/>
      <c r="E600" s="348"/>
      <c r="F600" s="345"/>
      <c r="G600" s="346"/>
      <c r="H600" s="348"/>
      <c r="I600" s="345"/>
      <c r="J600" s="349"/>
      <c r="K600" s="325"/>
      <c r="L600" s="325">
        <f t="shared" si="35"/>
        <v>0</v>
      </c>
      <c r="O600" s="325"/>
      <c r="P600" s="363"/>
      <c r="Q600" s="363"/>
      <c r="R600" s="364"/>
    </row>
    <row r="601" ht="16.5" hidden="1" customHeight="1" spans="1:18">
      <c r="A601" s="347" t="s">
        <v>568</v>
      </c>
      <c r="B601" s="348"/>
      <c r="C601" s="348"/>
      <c r="D601" s="349"/>
      <c r="E601" s="348"/>
      <c r="F601" s="345"/>
      <c r="G601" s="346"/>
      <c r="H601" s="348">
        <v>0</v>
      </c>
      <c r="I601" s="345"/>
      <c r="J601" s="349"/>
      <c r="K601" s="325"/>
      <c r="L601" s="325">
        <f t="shared" si="35"/>
        <v>0</v>
      </c>
      <c r="O601" s="325"/>
      <c r="P601" s="363"/>
      <c r="Q601" s="363"/>
      <c r="R601" s="364"/>
    </row>
    <row r="602" s="326" customFormat="1" ht="16.5" customHeight="1" spans="1:18">
      <c r="A602" s="347" t="s">
        <v>569</v>
      </c>
      <c r="B602" s="348">
        <v>1246</v>
      </c>
      <c r="C602" s="348">
        <v>1336</v>
      </c>
      <c r="D602" s="349">
        <f>C602/B602*100</f>
        <v>107.223113964687</v>
      </c>
      <c r="E602" s="348">
        <v>1226</v>
      </c>
      <c r="F602" s="345">
        <f>C602-E602</f>
        <v>110</v>
      </c>
      <c r="G602" s="346">
        <f>F602/E602*100</f>
        <v>8.97226753670473</v>
      </c>
      <c r="H602" s="348">
        <f>SUM(H603:H610)</f>
        <v>1277.367415</v>
      </c>
      <c r="I602" s="345">
        <f>H602-B602</f>
        <v>31.3674150000002</v>
      </c>
      <c r="J602" s="349">
        <f>I602/B602*100</f>
        <v>2.51744903691815</v>
      </c>
      <c r="K602" s="325"/>
      <c r="L602" s="325">
        <f t="shared" si="35"/>
        <v>2613.367415</v>
      </c>
      <c r="O602" s="325"/>
      <c r="P602" s="363"/>
      <c r="Q602" s="363"/>
      <c r="R602" s="364"/>
    </row>
    <row r="603" ht="16.5" customHeight="1" spans="1:18">
      <c r="A603" s="347" t="s">
        <v>155</v>
      </c>
      <c r="B603" s="348"/>
      <c r="C603" s="348"/>
      <c r="D603" s="349"/>
      <c r="E603" s="348"/>
      <c r="F603" s="345"/>
      <c r="G603" s="346"/>
      <c r="H603" s="372">
        <v>659.406464</v>
      </c>
      <c r="I603" s="345"/>
      <c r="J603" s="349"/>
      <c r="K603" s="325"/>
      <c r="L603" s="325">
        <f t="shared" si="35"/>
        <v>659.406464</v>
      </c>
      <c r="O603" s="325"/>
      <c r="P603" s="363"/>
      <c r="Q603" s="363"/>
      <c r="R603" s="364"/>
    </row>
    <row r="604" ht="16.5" customHeight="1" spans="1:18">
      <c r="A604" s="347" t="s">
        <v>156</v>
      </c>
      <c r="B604" s="348"/>
      <c r="C604" s="348"/>
      <c r="D604" s="349"/>
      <c r="E604" s="348"/>
      <c r="F604" s="345"/>
      <c r="G604" s="346"/>
      <c r="H604" s="372">
        <v>20</v>
      </c>
      <c r="I604" s="345"/>
      <c r="J604" s="349"/>
      <c r="K604" s="325"/>
      <c r="L604" s="325">
        <f t="shared" si="35"/>
        <v>20</v>
      </c>
      <c r="O604" s="325"/>
      <c r="P604" s="363"/>
      <c r="Q604" s="363"/>
      <c r="R604" s="364"/>
    </row>
    <row r="605" ht="16.5" customHeight="1" spans="1:18">
      <c r="A605" s="347" t="s">
        <v>157</v>
      </c>
      <c r="B605" s="348"/>
      <c r="C605" s="348"/>
      <c r="D605" s="349"/>
      <c r="E605" s="348"/>
      <c r="F605" s="345"/>
      <c r="G605" s="346"/>
      <c r="H605" s="372">
        <v>3.48</v>
      </c>
      <c r="I605" s="345"/>
      <c r="J605" s="349"/>
      <c r="K605" s="325"/>
      <c r="L605" s="325">
        <f t="shared" si="35"/>
        <v>3.48</v>
      </c>
      <c r="O605" s="325"/>
      <c r="P605" s="363"/>
      <c r="Q605" s="363"/>
      <c r="R605" s="364"/>
    </row>
    <row r="606" ht="16.5" customHeight="1" spans="1:18">
      <c r="A606" s="347" t="s">
        <v>570</v>
      </c>
      <c r="B606" s="348"/>
      <c r="C606" s="348"/>
      <c r="D606" s="349"/>
      <c r="E606" s="348"/>
      <c r="F606" s="345"/>
      <c r="G606" s="346"/>
      <c r="H606" s="372">
        <v>133.34</v>
      </c>
      <c r="I606" s="345"/>
      <c r="J606" s="349"/>
      <c r="K606" s="325"/>
      <c r="L606" s="325">
        <f t="shared" si="35"/>
        <v>133.34</v>
      </c>
      <c r="O606" s="325"/>
      <c r="P606" s="363"/>
      <c r="Q606" s="363"/>
      <c r="R606" s="364"/>
    </row>
    <row r="607" ht="16.5" customHeight="1" spans="1:18">
      <c r="A607" s="347" t="s">
        <v>571</v>
      </c>
      <c r="B607" s="348"/>
      <c r="C607" s="348"/>
      <c r="D607" s="349"/>
      <c r="E607" s="348"/>
      <c r="F607" s="345"/>
      <c r="G607" s="346"/>
      <c r="H607" s="372">
        <v>389.140951</v>
      </c>
      <c r="I607" s="345"/>
      <c r="J607" s="349"/>
      <c r="K607" s="325"/>
      <c r="L607" s="325">
        <f t="shared" si="35"/>
        <v>389.140951</v>
      </c>
      <c r="O607" s="325"/>
      <c r="P607" s="363"/>
      <c r="Q607" s="363"/>
      <c r="R607" s="364"/>
    </row>
    <row r="608" ht="16.5" hidden="1" customHeight="1" spans="1:18">
      <c r="A608" s="347" t="s">
        <v>195</v>
      </c>
      <c r="B608" s="348"/>
      <c r="C608" s="348"/>
      <c r="D608" s="349"/>
      <c r="E608" s="348"/>
      <c r="F608" s="345"/>
      <c r="G608" s="346"/>
      <c r="H608" s="372">
        <v>0</v>
      </c>
      <c r="I608" s="345"/>
      <c r="J608" s="349"/>
      <c r="K608" s="325"/>
      <c r="L608" s="325">
        <f t="shared" si="35"/>
        <v>0</v>
      </c>
      <c r="O608" s="325"/>
      <c r="P608" s="363"/>
      <c r="Q608" s="363"/>
      <c r="R608" s="364"/>
    </row>
    <row r="609" ht="16.5" customHeight="1" spans="1:18">
      <c r="A609" s="347" t="s">
        <v>164</v>
      </c>
      <c r="B609" s="348"/>
      <c r="C609" s="348"/>
      <c r="D609" s="349"/>
      <c r="E609" s="348"/>
      <c r="F609" s="345"/>
      <c r="G609" s="346"/>
      <c r="H609" s="372">
        <v>51</v>
      </c>
      <c r="I609" s="345"/>
      <c r="J609" s="349"/>
      <c r="K609" s="325"/>
      <c r="L609" s="325">
        <f t="shared" si="35"/>
        <v>51</v>
      </c>
      <c r="O609" s="325"/>
      <c r="P609" s="363"/>
      <c r="Q609" s="363"/>
      <c r="R609" s="364"/>
    </row>
    <row r="610" ht="16.5" customHeight="1" spans="1:18">
      <c r="A610" s="347" t="s">
        <v>572</v>
      </c>
      <c r="B610" s="348"/>
      <c r="C610" s="348"/>
      <c r="D610" s="349"/>
      <c r="E610" s="348"/>
      <c r="F610" s="345"/>
      <c r="G610" s="346"/>
      <c r="H610" s="372">
        <v>21</v>
      </c>
      <c r="I610" s="345"/>
      <c r="J610" s="349"/>
      <c r="K610" s="325"/>
      <c r="L610" s="325">
        <f t="shared" si="35"/>
        <v>21</v>
      </c>
      <c r="O610" s="325"/>
      <c r="P610" s="363"/>
      <c r="Q610" s="363"/>
      <c r="R610" s="364"/>
    </row>
    <row r="611" s="326" customFormat="1" ht="16.5" customHeight="1" spans="1:18">
      <c r="A611" s="347" t="s">
        <v>573</v>
      </c>
      <c r="B611" s="348">
        <v>35</v>
      </c>
      <c r="C611" s="348">
        <v>61</v>
      </c>
      <c r="D611" s="349">
        <f t="shared" ref="D611:D616" si="36">C611/B611*100</f>
        <v>174.285714285714</v>
      </c>
      <c r="E611" s="348">
        <v>51</v>
      </c>
      <c r="F611" s="345">
        <f t="shared" ref="F611:F616" si="37">C611-E611</f>
        <v>10</v>
      </c>
      <c r="G611" s="346">
        <f t="shared" ref="G611:G616" si="38">F611/E611*100</f>
        <v>19.6078431372549</v>
      </c>
      <c r="H611" s="348">
        <f>SUM(H612:H613)</f>
        <v>36</v>
      </c>
      <c r="I611" s="345">
        <f t="shared" ref="I611:I616" si="39">H611-B611</f>
        <v>1</v>
      </c>
      <c r="J611" s="349">
        <f t="shared" ref="J611:J616" si="40">I611/B611*100</f>
        <v>2.85714285714286</v>
      </c>
      <c r="K611" s="325"/>
      <c r="L611" s="325">
        <f t="shared" si="35"/>
        <v>97</v>
      </c>
      <c r="O611" s="325"/>
      <c r="P611" s="363"/>
      <c r="Q611" s="363"/>
      <c r="R611" s="364"/>
    </row>
    <row r="612" ht="16.5" hidden="1" customHeight="1" spans="1:18">
      <c r="A612" s="347" t="s">
        <v>574</v>
      </c>
      <c r="B612" s="348"/>
      <c r="C612" s="348"/>
      <c r="D612" s="349"/>
      <c r="E612" s="348"/>
      <c r="F612" s="345"/>
      <c r="G612" s="346"/>
      <c r="H612" s="348">
        <v>0</v>
      </c>
      <c r="I612" s="345"/>
      <c r="J612" s="349"/>
      <c r="K612" s="325"/>
      <c r="L612" s="325">
        <f t="shared" si="35"/>
        <v>0</v>
      </c>
      <c r="O612" s="325"/>
      <c r="P612" s="363"/>
      <c r="Q612" s="363"/>
      <c r="R612" s="364"/>
    </row>
    <row r="613" ht="16.5" customHeight="1" spans="1:18">
      <c r="A613" s="347" t="s">
        <v>575</v>
      </c>
      <c r="B613" s="348"/>
      <c r="C613" s="348"/>
      <c r="D613" s="349"/>
      <c r="E613" s="348"/>
      <c r="F613" s="345"/>
      <c r="G613" s="346"/>
      <c r="H613" s="348">
        <v>36</v>
      </c>
      <c r="I613" s="345"/>
      <c r="J613" s="349"/>
      <c r="K613" s="325"/>
      <c r="L613" s="325">
        <f t="shared" si="35"/>
        <v>36</v>
      </c>
      <c r="O613" s="325"/>
      <c r="P613" s="363"/>
      <c r="Q613" s="363"/>
      <c r="R613" s="364"/>
    </row>
    <row r="614" s="326" customFormat="1" ht="16.5" customHeight="1" spans="1:18">
      <c r="A614" s="347" t="s">
        <v>576</v>
      </c>
      <c r="B614" s="348">
        <v>5849</v>
      </c>
      <c r="C614" s="348">
        <v>225</v>
      </c>
      <c r="D614" s="349">
        <f t="shared" si="36"/>
        <v>3.84681142075568</v>
      </c>
      <c r="E614" s="348">
        <v>550</v>
      </c>
      <c r="F614" s="345">
        <f t="shared" si="37"/>
        <v>-325</v>
      </c>
      <c r="G614" s="346">
        <f t="shared" si="38"/>
        <v>-59.0909090909091</v>
      </c>
      <c r="H614" s="348">
        <v>3065.99561</v>
      </c>
      <c r="I614" s="345">
        <f t="shared" si="39"/>
        <v>-2783.00439</v>
      </c>
      <c r="J614" s="349">
        <f t="shared" si="40"/>
        <v>-47.5808580954009</v>
      </c>
      <c r="K614" s="325"/>
      <c r="L614" s="325">
        <f t="shared" si="35"/>
        <v>3290.99561</v>
      </c>
      <c r="O614" s="325"/>
      <c r="P614" s="363"/>
      <c r="Q614" s="363"/>
      <c r="R614" s="364"/>
    </row>
    <row r="615" s="325" customFormat="1" ht="16.5" customHeight="1" spans="1:18">
      <c r="A615" s="344" t="s">
        <v>577</v>
      </c>
      <c r="B615" s="345">
        <f>B616+B621+B636+B640+B652+B656+B661+B665+B669+B672+B697+B681+B688+B693</f>
        <v>418458</v>
      </c>
      <c r="C615" s="345">
        <f>C616+C621+C636+C640+C652+C656+C661+C665+C669+C672+C697+C681+C688+C693</f>
        <v>386519</v>
      </c>
      <c r="D615" s="349">
        <f t="shared" si="36"/>
        <v>92.3674538424406</v>
      </c>
      <c r="E615" s="345">
        <f>E616+E621+E636+E640+E652+E656+E661+E665+E669+E672+E697+E681+E688+E693</f>
        <v>383921</v>
      </c>
      <c r="F615" s="345">
        <f t="shared" si="37"/>
        <v>2598</v>
      </c>
      <c r="G615" s="346">
        <f t="shared" si="38"/>
        <v>0.676701717280378</v>
      </c>
      <c r="H615" s="345">
        <f>H616+H621+H636+H640+H652+H656+H661+H665+H669+H672+H697+H681+H688+H693</f>
        <v>391623.568459</v>
      </c>
      <c r="I615" s="345">
        <f t="shared" si="39"/>
        <v>-26834.431541</v>
      </c>
      <c r="J615" s="349">
        <f t="shared" si="40"/>
        <v>-6.4126941152995</v>
      </c>
      <c r="L615" s="325">
        <f t="shared" si="35"/>
        <v>778142.568459</v>
      </c>
      <c r="P615" s="362"/>
      <c r="Q615" s="362"/>
      <c r="R615" s="364"/>
    </row>
    <row r="616" s="326" customFormat="1" ht="16.5" customHeight="1" spans="1:18">
      <c r="A616" s="347" t="s">
        <v>578</v>
      </c>
      <c r="B616" s="348">
        <v>1457</v>
      </c>
      <c r="C616" s="348">
        <v>1440</v>
      </c>
      <c r="D616" s="349">
        <f t="shared" si="36"/>
        <v>98.8332189430336</v>
      </c>
      <c r="E616" s="348">
        <v>1284</v>
      </c>
      <c r="F616" s="345">
        <f t="shared" si="37"/>
        <v>156</v>
      </c>
      <c r="G616" s="346">
        <f t="shared" si="38"/>
        <v>12.1495327102804</v>
      </c>
      <c r="H616" s="348">
        <f>SUM(H617:H620)</f>
        <v>936.936315</v>
      </c>
      <c r="I616" s="345">
        <f t="shared" si="39"/>
        <v>-520.063685</v>
      </c>
      <c r="J616" s="349">
        <f t="shared" si="40"/>
        <v>-35.6941444749485</v>
      </c>
      <c r="K616" s="325"/>
      <c r="L616" s="325">
        <f t="shared" si="35"/>
        <v>2376.936315</v>
      </c>
      <c r="O616" s="325"/>
      <c r="P616" s="363"/>
      <c r="Q616" s="363"/>
      <c r="R616" s="364"/>
    </row>
    <row r="617" ht="16.5" customHeight="1" spans="1:18">
      <c r="A617" s="347" t="s">
        <v>155</v>
      </c>
      <c r="B617" s="348"/>
      <c r="C617" s="348"/>
      <c r="D617" s="349"/>
      <c r="E617" s="348"/>
      <c r="F617" s="345"/>
      <c r="G617" s="346"/>
      <c r="H617" s="348">
        <v>525.714781</v>
      </c>
      <c r="I617" s="345"/>
      <c r="J617" s="349"/>
      <c r="K617" s="325"/>
      <c r="L617" s="325">
        <f t="shared" si="35"/>
        <v>525.714781</v>
      </c>
      <c r="O617" s="325"/>
      <c r="P617" s="363"/>
      <c r="Q617" s="363"/>
      <c r="R617" s="364"/>
    </row>
    <row r="618" ht="16.5" customHeight="1" spans="1:18">
      <c r="A618" s="347" t="s">
        <v>156</v>
      </c>
      <c r="B618" s="348"/>
      <c r="C618" s="348"/>
      <c r="D618" s="349"/>
      <c r="E618" s="348"/>
      <c r="F618" s="345"/>
      <c r="G618" s="346"/>
      <c r="H618" s="348">
        <v>160.8</v>
      </c>
      <c r="I618" s="345"/>
      <c r="J618" s="349"/>
      <c r="K618" s="325"/>
      <c r="L618" s="325">
        <f t="shared" si="35"/>
        <v>160.8</v>
      </c>
      <c r="O618" s="325"/>
      <c r="P618" s="363"/>
      <c r="Q618" s="363"/>
      <c r="R618" s="364"/>
    </row>
    <row r="619" ht="16.5" customHeight="1" spans="1:18">
      <c r="A619" s="347" t="s">
        <v>157</v>
      </c>
      <c r="B619" s="348"/>
      <c r="C619" s="348"/>
      <c r="D619" s="349"/>
      <c r="E619" s="348"/>
      <c r="F619" s="345"/>
      <c r="G619" s="346"/>
      <c r="H619" s="348">
        <v>145.421534</v>
      </c>
      <c r="I619" s="345"/>
      <c r="J619" s="349"/>
      <c r="K619" s="325"/>
      <c r="L619" s="325">
        <f t="shared" si="35"/>
        <v>145.421534</v>
      </c>
      <c r="O619" s="325"/>
      <c r="P619" s="363"/>
      <c r="Q619" s="363"/>
      <c r="R619" s="364"/>
    </row>
    <row r="620" ht="16.5" customHeight="1" spans="1:18">
      <c r="A620" s="347" t="s">
        <v>579</v>
      </c>
      <c r="B620" s="348"/>
      <c r="C620" s="348"/>
      <c r="D620" s="349"/>
      <c r="E620" s="348"/>
      <c r="F620" s="345"/>
      <c r="G620" s="346"/>
      <c r="H620" s="348">
        <v>105</v>
      </c>
      <c r="I620" s="345"/>
      <c r="J620" s="349"/>
      <c r="K620" s="325"/>
      <c r="L620" s="325">
        <f t="shared" si="35"/>
        <v>105</v>
      </c>
      <c r="O620" s="325"/>
      <c r="P620" s="363"/>
      <c r="Q620" s="363"/>
      <c r="R620" s="364"/>
    </row>
    <row r="621" s="326" customFormat="1" ht="16.5" customHeight="1" spans="1:18">
      <c r="A621" s="347" t="s">
        <v>580</v>
      </c>
      <c r="B621" s="348">
        <v>12342</v>
      </c>
      <c r="C621" s="348">
        <v>6276</v>
      </c>
      <c r="D621" s="349">
        <f>C621/B621*100</f>
        <v>50.8507535245503</v>
      </c>
      <c r="E621" s="348">
        <v>8691</v>
      </c>
      <c r="F621" s="345">
        <f>C621-E621</f>
        <v>-2415</v>
      </c>
      <c r="G621" s="346">
        <f>F621/E621*100</f>
        <v>-27.7873662409389</v>
      </c>
      <c r="H621" s="348">
        <f>SUM(H622:H635)</f>
        <v>8167.712293</v>
      </c>
      <c r="I621" s="345">
        <f>H621-B621</f>
        <v>-4174.287707</v>
      </c>
      <c r="J621" s="349">
        <f>I621/B621*100</f>
        <v>-33.8218093258791</v>
      </c>
      <c r="K621" s="325"/>
      <c r="L621" s="325">
        <f t="shared" si="35"/>
        <v>14443.712293</v>
      </c>
      <c r="O621" s="325"/>
      <c r="P621" s="363"/>
      <c r="Q621" s="363"/>
      <c r="R621" s="364"/>
    </row>
    <row r="622" ht="16.5" customHeight="1" spans="1:18">
      <c r="A622" s="365" t="s">
        <v>581</v>
      </c>
      <c r="B622" s="348"/>
      <c r="C622" s="348"/>
      <c r="D622" s="349"/>
      <c r="E622" s="348"/>
      <c r="F622" s="345"/>
      <c r="G622" s="346"/>
      <c r="H622" s="348">
        <v>3732.43</v>
      </c>
      <c r="I622" s="345"/>
      <c r="J622" s="349"/>
      <c r="K622" s="325"/>
      <c r="L622" s="325">
        <f t="shared" si="35"/>
        <v>3732.43</v>
      </c>
      <c r="O622" s="325"/>
      <c r="P622" s="363"/>
      <c r="Q622" s="363"/>
      <c r="R622" s="364"/>
    </row>
    <row r="623" ht="16.5" customHeight="1" spans="1:18">
      <c r="A623" s="365" t="s">
        <v>582</v>
      </c>
      <c r="B623" s="348"/>
      <c r="C623" s="348"/>
      <c r="D623" s="349"/>
      <c r="E623" s="348"/>
      <c r="F623" s="345"/>
      <c r="G623" s="346"/>
      <c r="H623" s="348">
        <v>4273.832293</v>
      </c>
      <c r="I623" s="345"/>
      <c r="J623" s="349"/>
      <c r="K623" s="325"/>
      <c r="L623" s="325">
        <f t="shared" si="35"/>
        <v>4273.832293</v>
      </c>
      <c r="O623" s="325"/>
      <c r="P623" s="363"/>
      <c r="Q623" s="363"/>
      <c r="R623" s="364"/>
    </row>
    <row r="624" ht="16.5" hidden="1" customHeight="1" spans="1:18">
      <c r="A624" s="365" t="s">
        <v>583</v>
      </c>
      <c r="B624" s="348"/>
      <c r="C624" s="348"/>
      <c r="D624" s="349"/>
      <c r="E624" s="348"/>
      <c r="F624" s="345"/>
      <c r="G624" s="346"/>
      <c r="H624" s="348">
        <v>0</v>
      </c>
      <c r="I624" s="345"/>
      <c r="J624" s="349"/>
      <c r="K624" s="325"/>
      <c r="L624" s="325">
        <f t="shared" si="35"/>
        <v>0</v>
      </c>
      <c r="O624" s="325"/>
      <c r="P624" s="363"/>
      <c r="Q624" s="363"/>
      <c r="R624" s="364"/>
    </row>
    <row r="625" ht="16.5" hidden="1" customHeight="1" spans="1:18">
      <c r="A625" s="365" t="s">
        <v>584</v>
      </c>
      <c r="B625" s="348"/>
      <c r="C625" s="348"/>
      <c r="D625" s="349"/>
      <c r="E625" s="348"/>
      <c r="F625" s="345"/>
      <c r="G625" s="346"/>
      <c r="H625" s="348">
        <v>0</v>
      </c>
      <c r="I625" s="345"/>
      <c r="J625" s="349"/>
      <c r="K625" s="325"/>
      <c r="L625" s="325">
        <f t="shared" si="35"/>
        <v>0</v>
      </c>
      <c r="O625" s="325"/>
      <c r="P625" s="363"/>
      <c r="Q625" s="363"/>
      <c r="R625" s="364"/>
    </row>
    <row r="626" ht="16.5" hidden="1" customHeight="1" spans="1:18">
      <c r="A626" s="365" t="s">
        <v>585</v>
      </c>
      <c r="B626" s="348"/>
      <c r="C626" s="348"/>
      <c r="D626" s="349"/>
      <c r="E626" s="348"/>
      <c r="F626" s="345"/>
      <c r="G626" s="346"/>
      <c r="H626" s="348">
        <v>0</v>
      </c>
      <c r="I626" s="345"/>
      <c r="J626" s="349"/>
      <c r="K626" s="325"/>
      <c r="L626" s="325">
        <f t="shared" si="35"/>
        <v>0</v>
      </c>
      <c r="O626" s="325"/>
      <c r="P626" s="363"/>
      <c r="Q626" s="363"/>
      <c r="R626" s="364"/>
    </row>
    <row r="627" ht="16.5" hidden="1" customHeight="1" spans="1:18">
      <c r="A627" s="365" t="s">
        <v>586</v>
      </c>
      <c r="B627" s="348"/>
      <c r="C627" s="348"/>
      <c r="D627" s="349"/>
      <c r="E627" s="348"/>
      <c r="F627" s="345"/>
      <c r="G627" s="346"/>
      <c r="H627" s="348">
        <v>0</v>
      </c>
      <c r="I627" s="345"/>
      <c r="J627" s="349"/>
      <c r="K627" s="325"/>
      <c r="L627" s="325">
        <f t="shared" si="35"/>
        <v>0</v>
      </c>
      <c r="O627" s="325"/>
      <c r="P627" s="363"/>
      <c r="Q627" s="363"/>
      <c r="R627" s="364"/>
    </row>
    <row r="628" ht="16.5" hidden="1" customHeight="1" spans="1:18">
      <c r="A628" s="365" t="s">
        <v>587</v>
      </c>
      <c r="B628" s="348"/>
      <c r="C628" s="348"/>
      <c r="D628" s="349"/>
      <c r="E628" s="348"/>
      <c r="F628" s="345"/>
      <c r="G628" s="346"/>
      <c r="H628" s="348">
        <v>0</v>
      </c>
      <c r="I628" s="345"/>
      <c r="J628" s="349"/>
      <c r="K628" s="325"/>
      <c r="L628" s="325">
        <f t="shared" si="35"/>
        <v>0</v>
      </c>
      <c r="O628" s="325"/>
      <c r="P628" s="363"/>
      <c r="Q628" s="363"/>
      <c r="R628" s="364"/>
    </row>
    <row r="629" ht="16.5" customHeight="1" spans="1:18">
      <c r="A629" s="365" t="s">
        <v>588</v>
      </c>
      <c r="B629" s="348"/>
      <c r="C629" s="348"/>
      <c r="D629" s="349"/>
      <c r="E629" s="348"/>
      <c r="F629" s="345"/>
      <c r="G629" s="346"/>
      <c r="H629" s="348">
        <v>141.45</v>
      </c>
      <c r="I629" s="345"/>
      <c r="J629" s="349"/>
      <c r="K629" s="325"/>
      <c r="L629" s="325">
        <f t="shared" si="35"/>
        <v>141.45</v>
      </c>
      <c r="O629" s="325"/>
      <c r="P629" s="363"/>
      <c r="Q629" s="363"/>
      <c r="R629" s="364"/>
    </row>
    <row r="630" ht="16.5" hidden="1" customHeight="1" spans="1:18">
      <c r="A630" s="365" t="s">
        <v>589</v>
      </c>
      <c r="B630" s="348"/>
      <c r="C630" s="348"/>
      <c r="D630" s="349"/>
      <c r="E630" s="348"/>
      <c r="F630" s="345"/>
      <c r="G630" s="346"/>
      <c r="H630" s="348">
        <v>0</v>
      </c>
      <c r="I630" s="345"/>
      <c r="J630" s="349"/>
      <c r="K630" s="325"/>
      <c r="L630" s="325">
        <f t="shared" si="35"/>
        <v>0</v>
      </c>
      <c r="O630" s="325"/>
      <c r="P630" s="363"/>
      <c r="Q630" s="363"/>
      <c r="R630" s="364"/>
    </row>
    <row r="631" ht="16.5" hidden="1" customHeight="1" spans="1:18">
      <c r="A631" s="365" t="s">
        <v>590</v>
      </c>
      <c r="B631" s="348"/>
      <c r="C631" s="348"/>
      <c r="D631" s="349"/>
      <c r="E631" s="348"/>
      <c r="F631" s="345"/>
      <c r="G631" s="346"/>
      <c r="H631" s="348">
        <v>0</v>
      </c>
      <c r="I631" s="345"/>
      <c r="J631" s="349"/>
      <c r="K631" s="325"/>
      <c r="L631" s="325">
        <f t="shared" si="35"/>
        <v>0</v>
      </c>
      <c r="O631" s="325"/>
      <c r="P631" s="363"/>
      <c r="Q631" s="363"/>
      <c r="R631" s="364"/>
    </row>
    <row r="632" ht="16.5" hidden="1" customHeight="1" spans="1:18">
      <c r="A632" s="365" t="s">
        <v>591</v>
      </c>
      <c r="B632" s="348"/>
      <c r="C632" s="348"/>
      <c r="D632" s="349"/>
      <c r="E632" s="348"/>
      <c r="F632" s="345"/>
      <c r="G632" s="346"/>
      <c r="H632" s="348">
        <v>0</v>
      </c>
      <c r="I632" s="345"/>
      <c r="J632" s="349"/>
      <c r="K632" s="325"/>
      <c r="L632" s="325">
        <f t="shared" si="35"/>
        <v>0</v>
      </c>
      <c r="O632" s="325"/>
      <c r="P632" s="363"/>
      <c r="Q632" s="363"/>
      <c r="R632" s="364"/>
    </row>
    <row r="633" ht="16.5" hidden="1" customHeight="1" spans="1:18">
      <c r="A633" s="365" t="s">
        <v>592</v>
      </c>
      <c r="B633" s="348"/>
      <c r="C633" s="348"/>
      <c r="D633" s="349"/>
      <c r="E633" s="348"/>
      <c r="F633" s="345"/>
      <c r="G633" s="346"/>
      <c r="H633" s="348">
        <v>0</v>
      </c>
      <c r="I633" s="345"/>
      <c r="J633" s="349"/>
      <c r="K633" s="325"/>
      <c r="L633" s="325">
        <f t="shared" si="35"/>
        <v>0</v>
      </c>
      <c r="O633" s="325"/>
      <c r="P633" s="363"/>
      <c r="Q633" s="363"/>
      <c r="R633" s="364"/>
    </row>
    <row r="634" ht="16.5" hidden="1" customHeight="1" spans="1:18">
      <c r="A634" s="365" t="s">
        <v>593</v>
      </c>
      <c r="B634" s="348"/>
      <c r="C634" s="348"/>
      <c r="D634" s="349"/>
      <c r="E634" s="348"/>
      <c r="F634" s="345"/>
      <c r="G634" s="346"/>
      <c r="H634" s="348">
        <v>0</v>
      </c>
      <c r="I634" s="345"/>
      <c r="J634" s="349"/>
      <c r="K634" s="325"/>
      <c r="L634" s="325">
        <f t="shared" si="35"/>
        <v>0</v>
      </c>
      <c r="O634" s="325"/>
      <c r="P634" s="363"/>
      <c r="Q634" s="363"/>
      <c r="R634" s="364"/>
    </row>
    <row r="635" ht="16.5" customHeight="1" spans="1:18">
      <c r="A635" s="365" t="s">
        <v>594</v>
      </c>
      <c r="B635" s="348"/>
      <c r="C635" s="348"/>
      <c r="D635" s="349"/>
      <c r="E635" s="348"/>
      <c r="F635" s="345"/>
      <c r="G635" s="346"/>
      <c r="H635" s="348">
        <v>20</v>
      </c>
      <c r="I635" s="345"/>
      <c r="J635" s="349"/>
      <c r="K635" s="325"/>
      <c r="L635" s="325">
        <f t="shared" si="35"/>
        <v>20</v>
      </c>
      <c r="O635" s="325"/>
      <c r="P635" s="363"/>
      <c r="Q635" s="363"/>
      <c r="R635" s="364"/>
    </row>
    <row r="636" s="326" customFormat="1" ht="16.5" customHeight="1" spans="1:18">
      <c r="A636" s="347" t="s">
        <v>595</v>
      </c>
      <c r="B636" s="348">
        <v>791</v>
      </c>
      <c r="C636" s="348">
        <v>53</v>
      </c>
      <c r="D636" s="349">
        <f>C636/B636*100</f>
        <v>6.70037926675095</v>
      </c>
      <c r="E636" s="348">
        <v>38</v>
      </c>
      <c r="F636" s="345">
        <f>C636-E636</f>
        <v>15</v>
      </c>
      <c r="G636" s="346">
        <f>F636/E636*100</f>
        <v>39.4736842105263</v>
      </c>
      <c r="H636" s="348">
        <f>SUM(H637:H639)</f>
        <v>0</v>
      </c>
      <c r="I636" s="345">
        <f>H636-B636</f>
        <v>-791</v>
      </c>
      <c r="J636" s="349">
        <f>I636/B636*100</f>
        <v>-100</v>
      </c>
      <c r="K636" s="325"/>
      <c r="L636" s="325">
        <f t="shared" si="35"/>
        <v>53</v>
      </c>
      <c r="O636" s="325"/>
      <c r="P636" s="363"/>
      <c r="Q636" s="363"/>
      <c r="R636" s="364"/>
    </row>
    <row r="637" ht="16.5" hidden="1" customHeight="1" spans="1:18">
      <c r="A637" s="347" t="s">
        <v>596</v>
      </c>
      <c r="B637" s="348"/>
      <c r="C637" s="348"/>
      <c r="D637" s="349"/>
      <c r="E637" s="348"/>
      <c r="F637" s="345"/>
      <c r="G637" s="346"/>
      <c r="H637" s="348"/>
      <c r="I637" s="345"/>
      <c r="J637" s="349"/>
      <c r="K637" s="325"/>
      <c r="L637" s="325">
        <f t="shared" si="35"/>
        <v>0</v>
      </c>
      <c r="O637" s="325"/>
      <c r="P637" s="363"/>
      <c r="Q637" s="363"/>
      <c r="R637" s="364"/>
    </row>
    <row r="638" ht="16.5" hidden="1" customHeight="1" spans="1:18">
      <c r="A638" s="347" t="s">
        <v>597</v>
      </c>
      <c r="B638" s="348"/>
      <c r="C638" s="348"/>
      <c r="D638" s="349"/>
      <c r="E638" s="348"/>
      <c r="F638" s="345"/>
      <c r="G638" s="346"/>
      <c r="H638" s="348"/>
      <c r="I638" s="345"/>
      <c r="J638" s="349"/>
      <c r="K638" s="325"/>
      <c r="L638" s="325">
        <f t="shared" si="35"/>
        <v>0</v>
      </c>
      <c r="O638" s="325"/>
      <c r="P638" s="363"/>
      <c r="Q638" s="363"/>
      <c r="R638" s="364"/>
    </row>
    <row r="639" ht="16.5" hidden="1" customHeight="1" spans="1:18">
      <c r="A639" s="347" t="s">
        <v>598</v>
      </c>
      <c r="B639" s="348"/>
      <c r="C639" s="348"/>
      <c r="D639" s="349"/>
      <c r="E639" s="348"/>
      <c r="F639" s="345"/>
      <c r="G639" s="346"/>
      <c r="H639" s="348"/>
      <c r="I639" s="345"/>
      <c r="J639" s="349"/>
      <c r="K639" s="325"/>
      <c r="L639" s="325">
        <f t="shared" si="35"/>
        <v>0</v>
      </c>
      <c r="O639" s="325"/>
      <c r="P639" s="363"/>
      <c r="Q639" s="363"/>
      <c r="R639" s="364"/>
    </row>
    <row r="640" s="326" customFormat="1" ht="16.5" customHeight="1" spans="1:18">
      <c r="A640" s="347" t="s">
        <v>599</v>
      </c>
      <c r="B640" s="348">
        <v>51446</v>
      </c>
      <c r="C640" s="348">
        <v>8478</v>
      </c>
      <c r="D640" s="349">
        <f>C640/B640*100</f>
        <v>16.4794153092563</v>
      </c>
      <c r="E640" s="348">
        <v>5882</v>
      </c>
      <c r="F640" s="345">
        <f>C640-E640</f>
        <v>2596</v>
      </c>
      <c r="G640" s="346">
        <f>F640/E640*100</f>
        <v>44.1346480788847</v>
      </c>
      <c r="H640" s="348">
        <f>SUM(H641:H651)</f>
        <v>9198.450206</v>
      </c>
      <c r="I640" s="345">
        <f>H640-B640</f>
        <v>-42247.549794</v>
      </c>
      <c r="J640" s="349">
        <f>I640/B640*100</f>
        <v>-82.1201838704661</v>
      </c>
      <c r="K640" s="325"/>
      <c r="L640" s="325">
        <f t="shared" si="35"/>
        <v>17676.450206</v>
      </c>
      <c r="O640" s="325"/>
      <c r="P640" s="363"/>
      <c r="Q640" s="363"/>
      <c r="R640" s="364"/>
    </row>
    <row r="641" ht="16.5" customHeight="1" spans="1:18">
      <c r="A641" s="347" t="s">
        <v>600</v>
      </c>
      <c r="B641" s="348"/>
      <c r="C641" s="348"/>
      <c r="D641" s="349"/>
      <c r="E641" s="348"/>
      <c r="F641" s="345"/>
      <c r="G641" s="346"/>
      <c r="H641" s="348">
        <v>2265.229753</v>
      </c>
      <c r="I641" s="345"/>
      <c r="J641" s="349"/>
      <c r="K641" s="325"/>
      <c r="L641" s="325">
        <f t="shared" si="35"/>
        <v>2265.229753</v>
      </c>
      <c r="O641" s="325"/>
      <c r="P641" s="363"/>
      <c r="Q641" s="363"/>
      <c r="R641" s="364"/>
    </row>
    <row r="642" ht="16.5" customHeight="1" spans="1:18">
      <c r="A642" s="347" t="s">
        <v>601</v>
      </c>
      <c r="B642" s="348"/>
      <c r="C642" s="348"/>
      <c r="D642" s="349"/>
      <c r="E642" s="348"/>
      <c r="F642" s="345"/>
      <c r="G642" s="346"/>
      <c r="H642" s="348">
        <v>34</v>
      </c>
      <c r="I642" s="345"/>
      <c r="J642" s="349"/>
      <c r="K642" s="325"/>
      <c r="L642" s="325">
        <f t="shared" si="35"/>
        <v>34</v>
      </c>
      <c r="O642" s="325"/>
      <c r="P642" s="363"/>
      <c r="Q642" s="363"/>
      <c r="R642" s="364"/>
    </row>
    <row r="643" ht="16.5" customHeight="1" spans="1:18">
      <c r="A643" s="347" t="s">
        <v>602</v>
      </c>
      <c r="B643" s="348"/>
      <c r="C643" s="348"/>
      <c r="D643" s="349"/>
      <c r="E643" s="348"/>
      <c r="F643" s="345"/>
      <c r="G643" s="346"/>
      <c r="H643" s="348">
        <v>682.616386</v>
      </c>
      <c r="I643" s="345"/>
      <c r="J643" s="349"/>
      <c r="K643" s="325"/>
      <c r="L643" s="325">
        <f t="shared" si="35"/>
        <v>682.616386</v>
      </c>
      <c r="O643" s="325"/>
      <c r="P643" s="363"/>
      <c r="Q643" s="363"/>
      <c r="R643" s="364"/>
    </row>
    <row r="644" ht="16.5" hidden="1" customHeight="1" spans="1:18">
      <c r="A644" s="347" t="s">
        <v>603</v>
      </c>
      <c r="B644" s="348"/>
      <c r="C644" s="348"/>
      <c r="D644" s="349"/>
      <c r="E644" s="348"/>
      <c r="F644" s="345"/>
      <c r="G644" s="346"/>
      <c r="H644" s="348">
        <v>0</v>
      </c>
      <c r="I644" s="345"/>
      <c r="J644" s="349"/>
      <c r="K644" s="325"/>
      <c r="L644" s="325">
        <f t="shared" si="35"/>
        <v>0</v>
      </c>
      <c r="O644" s="325"/>
      <c r="P644" s="363"/>
      <c r="Q644" s="363"/>
      <c r="R644" s="364"/>
    </row>
    <row r="645" ht="16.5" hidden="1" customHeight="1" spans="1:18">
      <c r="A645" s="347" t="s">
        <v>604</v>
      </c>
      <c r="B645" s="348"/>
      <c r="C645" s="348"/>
      <c r="D645" s="349"/>
      <c r="E645" s="348"/>
      <c r="F645" s="345"/>
      <c r="G645" s="346"/>
      <c r="H645" s="348">
        <v>0</v>
      </c>
      <c r="I645" s="345"/>
      <c r="J645" s="349"/>
      <c r="K645" s="325"/>
      <c r="L645" s="325">
        <f t="shared" si="35"/>
        <v>0</v>
      </c>
      <c r="O645" s="325"/>
      <c r="P645" s="363"/>
      <c r="Q645" s="363"/>
      <c r="R645" s="364"/>
    </row>
    <row r="646" ht="16.5" customHeight="1" spans="1:18">
      <c r="A646" s="347" t="s">
        <v>605</v>
      </c>
      <c r="B646" s="348"/>
      <c r="C646" s="348"/>
      <c r="D646" s="349"/>
      <c r="E646" s="348"/>
      <c r="F646" s="345"/>
      <c r="G646" s="346"/>
      <c r="H646" s="348">
        <v>395.999708</v>
      </c>
      <c r="I646" s="345"/>
      <c r="J646" s="349"/>
      <c r="K646" s="325"/>
      <c r="L646" s="325">
        <f t="shared" si="35"/>
        <v>395.999708</v>
      </c>
      <c r="O646" s="325"/>
      <c r="P646" s="363"/>
      <c r="Q646" s="363"/>
      <c r="R646" s="364"/>
    </row>
    <row r="647" ht="16.5" customHeight="1" spans="1:18">
      <c r="A647" s="347" t="s">
        <v>606</v>
      </c>
      <c r="B647" s="348"/>
      <c r="C647" s="348"/>
      <c r="D647" s="349"/>
      <c r="E647" s="348"/>
      <c r="F647" s="345"/>
      <c r="G647" s="346"/>
      <c r="H647" s="348">
        <v>207.464333</v>
      </c>
      <c r="I647" s="345"/>
      <c r="J647" s="349"/>
      <c r="K647" s="325"/>
      <c r="L647" s="325">
        <f t="shared" si="35"/>
        <v>207.464333</v>
      </c>
      <c r="O647" s="325"/>
      <c r="P647" s="363"/>
      <c r="Q647" s="363"/>
      <c r="R647" s="364"/>
    </row>
    <row r="648" ht="16.5" customHeight="1" spans="1:18">
      <c r="A648" s="347" t="s">
        <v>607</v>
      </c>
      <c r="B648" s="348"/>
      <c r="C648" s="348"/>
      <c r="D648" s="349"/>
      <c r="E648" s="348"/>
      <c r="F648" s="345"/>
      <c r="G648" s="346"/>
      <c r="H648" s="348">
        <f>1670.83+94.65</f>
        <v>1765.48</v>
      </c>
      <c r="I648" s="345"/>
      <c r="J648" s="349"/>
      <c r="K648" s="325"/>
      <c r="L648" s="325">
        <f t="shared" ref="L648:L711" si="41">C648+H648</f>
        <v>1765.48</v>
      </c>
      <c r="O648" s="325"/>
      <c r="P648" s="363"/>
      <c r="Q648" s="363"/>
      <c r="R648" s="364"/>
    </row>
    <row r="649" ht="16.5" customHeight="1" spans="1:18">
      <c r="A649" s="347" t="s">
        <v>608</v>
      </c>
      <c r="B649" s="348"/>
      <c r="C649" s="348"/>
      <c r="D649" s="349"/>
      <c r="E649" s="348"/>
      <c r="F649" s="345"/>
      <c r="G649" s="346"/>
      <c r="H649" s="348">
        <v>3248.680026</v>
      </c>
      <c r="I649" s="345"/>
      <c r="J649" s="349"/>
      <c r="K649" s="325"/>
      <c r="L649" s="325">
        <f t="shared" si="41"/>
        <v>3248.680026</v>
      </c>
      <c r="O649" s="325"/>
      <c r="P649" s="363"/>
      <c r="Q649" s="363"/>
      <c r="R649" s="364"/>
    </row>
    <row r="650" ht="16.5" hidden="1" customHeight="1" spans="1:18">
      <c r="A650" s="347" t="s">
        <v>609</v>
      </c>
      <c r="B650" s="348"/>
      <c r="C650" s="348"/>
      <c r="D650" s="349"/>
      <c r="E650" s="348"/>
      <c r="F650" s="345"/>
      <c r="G650" s="346"/>
      <c r="H650" s="348">
        <v>0</v>
      </c>
      <c r="I650" s="345"/>
      <c r="J650" s="349"/>
      <c r="K650" s="325"/>
      <c r="L650" s="325">
        <f t="shared" si="41"/>
        <v>0</v>
      </c>
      <c r="O650" s="325"/>
      <c r="P650" s="363"/>
      <c r="Q650" s="363"/>
      <c r="R650" s="364"/>
    </row>
    <row r="651" ht="16.5" customHeight="1" spans="1:18">
      <c r="A651" s="347" t="s">
        <v>610</v>
      </c>
      <c r="B651" s="348"/>
      <c r="C651" s="348"/>
      <c r="D651" s="349"/>
      <c r="E651" s="348"/>
      <c r="F651" s="345"/>
      <c r="G651" s="346"/>
      <c r="H651" s="348">
        <v>598.98</v>
      </c>
      <c r="I651" s="345"/>
      <c r="J651" s="349"/>
      <c r="K651" s="325"/>
      <c r="L651" s="325">
        <f t="shared" si="41"/>
        <v>598.98</v>
      </c>
      <c r="O651" s="325"/>
      <c r="P651" s="363"/>
      <c r="Q651" s="363"/>
      <c r="R651" s="364"/>
    </row>
    <row r="652" s="326" customFormat="1" ht="16.5" customHeight="1" spans="1:18">
      <c r="A652" s="347" t="s">
        <v>611</v>
      </c>
      <c r="B652" s="348">
        <v>1807</v>
      </c>
      <c r="C652" s="348">
        <v>268</v>
      </c>
      <c r="D652" s="349">
        <f>C652/B652*100</f>
        <v>14.8312119535141</v>
      </c>
      <c r="E652" s="348">
        <v>1509</v>
      </c>
      <c r="F652" s="345">
        <f>C652-E652</f>
        <v>-1241</v>
      </c>
      <c r="G652" s="346">
        <f>F652/E652*100</f>
        <v>-82.2398939695162</v>
      </c>
      <c r="H652" s="348">
        <f>SUM(H653:H655)</f>
        <v>308.029333</v>
      </c>
      <c r="I652" s="345">
        <f>H652-B652</f>
        <v>-1498.970667</v>
      </c>
      <c r="J652" s="349">
        <f>I652/B652*100</f>
        <v>-82.9535510237964</v>
      </c>
      <c r="K652" s="325"/>
      <c r="L652" s="325">
        <f t="shared" si="41"/>
        <v>576.029333</v>
      </c>
      <c r="O652" s="325"/>
      <c r="P652" s="363"/>
      <c r="Q652" s="363"/>
      <c r="R652" s="364"/>
    </row>
    <row r="653" ht="16.5" customHeight="1" spans="1:18">
      <c r="A653" s="347" t="s">
        <v>612</v>
      </c>
      <c r="B653" s="348"/>
      <c r="C653" s="348"/>
      <c r="D653" s="349"/>
      <c r="E653" s="348"/>
      <c r="F653" s="345"/>
      <c r="G653" s="346"/>
      <c r="H653" s="348">
        <v>247.029333</v>
      </c>
      <c r="I653" s="345"/>
      <c r="J653" s="349"/>
      <c r="K653" s="325"/>
      <c r="L653" s="325">
        <f t="shared" si="41"/>
        <v>247.029333</v>
      </c>
      <c r="O653" s="325"/>
      <c r="P653" s="363"/>
      <c r="Q653" s="363"/>
      <c r="R653" s="364"/>
    </row>
    <row r="654" ht="16.5" customHeight="1" spans="1:18">
      <c r="A654" s="347" t="s">
        <v>613</v>
      </c>
      <c r="B654" s="348"/>
      <c r="C654" s="348"/>
      <c r="D654" s="349"/>
      <c r="E654" s="348"/>
      <c r="F654" s="345"/>
      <c r="G654" s="346"/>
      <c r="H654" s="348">
        <v>61</v>
      </c>
      <c r="I654" s="345"/>
      <c r="J654" s="349"/>
      <c r="K654" s="325"/>
      <c r="L654" s="325">
        <f t="shared" si="41"/>
        <v>61</v>
      </c>
      <c r="O654" s="325"/>
      <c r="P654" s="363"/>
      <c r="Q654" s="363"/>
      <c r="R654" s="364"/>
    </row>
    <row r="655" ht="16.5" hidden="1" customHeight="1" spans="1:18">
      <c r="A655" s="347" t="s">
        <v>614</v>
      </c>
      <c r="B655" s="348"/>
      <c r="C655" s="348"/>
      <c r="D655" s="349"/>
      <c r="E655" s="348"/>
      <c r="F655" s="345"/>
      <c r="G655" s="346"/>
      <c r="H655" s="348">
        <v>0</v>
      </c>
      <c r="I655" s="345"/>
      <c r="J655" s="349"/>
      <c r="K655" s="325"/>
      <c r="L655" s="325">
        <f t="shared" si="41"/>
        <v>0</v>
      </c>
      <c r="O655" s="325"/>
      <c r="P655" s="363"/>
      <c r="Q655" s="363"/>
      <c r="R655" s="364"/>
    </row>
    <row r="656" s="326" customFormat="1" ht="16.5" customHeight="1" spans="1:18">
      <c r="A656" s="347" t="s">
        <v>615</v>
      </c>
      <c r="B656" s="348">
        <v>19565</v>
      </c>
      <c r="C656" s="348">
        <v>18282</v>
      </c>
      <c r="D656" s="349">
        <f>C656/B656*100</f>
        <v>93.4423715819065</v>
      </c>
      <c r="E656" s="348">
        <v>18623</v>
      </c>
      <c r="F656" s="345">
        <f>C656-E656</f>
        <v>-341</v>
      </c>
      <c r="G656" s="346">
        <f>F656/E656*100</f>
        <v>-1.83106910809214</v>
      </c>
      <c r="H656" s="348">
        <f>SUM(H657:H660)</f>
        <v>19470.107102</v>
      </c>
      <c r="I656" s="345">
        <f>H656-B656</f>
        <v>-94.8928979999982</v>
      </c>
      <c r="J656" s="349">
        <f>I656/B656*100</f>
        <v>-0.485013534372595</v>
      </c>
      <c r="K656" s="325"/>
      <c r="L656" s="325">
        <f t="shared" si="41"/>
        <v>37752.107102</v>
      </c>
      <c r="O656" s="325"/>
      <c r="P656" s="363"/>
      <c r="Q656" s="363"/>
      <c r="R656" s="364"/>
    </row>
    <row r="657" ht="16.5" customHeight="1" spans="1:18">
      <c r="A657" s="347" t="s">
        <v>616</v>
      </c>
      <c r="B657" s="348"/>
      <c r="C657" s="348"/>
      <c r="D657" s="349"/>
      <c r="E657" s="348"/>
      <c r="F657" s="345"/>
      <c r="G657" s="346"/>
      <c r="H657" s="348">
        <v>5174.537304</v>
      </c>
      <c r="I657" s="345"/>
      <c r="J657" s="349"/>
      <c r="K657" s="325"/>
      <c r="L657" s="325">
        <f t="shared" si="41"/>
        <v>5174.537304</v>
      </c>
      <c r="O657" s="325"/>
      <c r="P657" s="363"/>
      <c r="Q657" s="363"/>
      <c r="R657" s="364"/>
    </row>
    <row r="658" ht="16.5" customHeight="1" spans="1:18">
      <c r="A658" s="347" t="s">
        <v>617</v>
      </c>
      <c r="B658" s="348"/>
      <c r="C658" s="348"/>
      <c r="D658" s="349"/>
      <c r="E658" s="348"/>
      <c r="F658" s="345"/>
      <c r="G658" s="346"/>
      <c r="H658" s="348">
        <v>5420.032862</v>
      </c>
      <c r="I658" s="345"/>
      <c r="J658" s="349"/>
      <c r="K658" s="325"/>
      <c r="L658" s="325">
        <f t="shared" si="41"/>
        <v>5420.032862</v>
      </c>
      <c r="O658" s="325"/>
      <c r="P658" s="363"/>
      <c r="Q658" s="363"/>
      <c r="R658" s="364"/>
    </row>
    <row r="659" ht="16.5" customHeight="1" spans="1:18">
      <c r="A659" s="347" t="s">
        <v>618</v>
      </c>
      <c r="B659" s="348"/>
      <c r="C659" s="348"/>
      <c r="D659" s="349"/>
      <c r="E659" s="348"/>
      <c r="F659" s="345"/>
      <c r="G659" s="346"/>
      <c r="H659" s="348">
        <v>8618.793513</v>
      </c>
      <c r="I659" s="345"/>
      <c r="J659" s="349"/>
      <c r="K659" s="325"/>
      <c r="L659" s="325">
        <f t="shared" si="41"/>
        <v>8618.793513</v>
      </c>
      <c r="O659" s="325"/>
      <c r="P659" s="363"/>
      <c r="Q659" s="363"/>
      <c r="R659" s="364"/>
    </row>
    <row r="660" ht="16.5" customHeight="1" spans="1:18">
      <c r="A660" s="347" t="s">
        <v>619</v>
      </c>
      <c r="B660" s="348"/>
      <c r="C660" s="348"/>
      <c r="D660" s="349"/>
      <c r="E660" s="348"/>
      <c r="F660" s="345"/>
      <c r="G660" s="346"/>
      <c r="H660" s="348">
        <v>256.743423</v>
      </c>
      <c r="I660" s="345"/>
      <c r="J660" s="349"/>
      <c r="K660" s="325"/>
      <c r="L660" s="325">
        <f t="shared" si="41"/>
        <v>256.743423</v>
      </c>
      <c r="O660" s="325"/>
      <c r="P660" s="363"/>
      <c r="Q660" s="363"/>
      <c r="R660" s="364"/>
    </row>
    <row r="661" s="326" customFormat="1" ht="16.5" customHeight="1" spans="1:18">
      <c r="A661" s="347" t="s">
        <v>620</v>
      </c>
      <c r="B661" s="348">
        <v>326162</v>
      </c>
      <c r="C661" s="348">
        <v>349198</v>
      </c>
      <c r="D661" s="349">
        <f>C661/B661*100</f>
        <v>107.062747959603</v>
      </c>
      <c r="E661" s="348">
        <v>344846</v>
      </c>
      <c r="F661" s="345">
        <f>C661-E661</f>
        <v>4352</v>
      </c>
      <c r="G661" s="346">
        <f>F661/E661*100</f>
        <v>1.2620126085267</v>
      </c>
      <c r="H661" s="348">
        <f>SUM(H662:H664)</f>
        <v>334426.189</v>
      </c>
      <c r="I661" s="345">
        <f>H661-B661</f>
        <v>8264.18900000001</v>
      </c>
      <c r="J661" s="349">
        <f>I661/B661*100</f>
        <v>2.53376818881415</v>
      </c>
      <c r="K661" s="325"/>
      <c r="L661" s="325">
        <f t="shared" si="41"/>
        <v>683624.189</v>
      </c>
      <c r="O661" s="325"/>
      <c r="P661" s="363"/>
      <c r="Q661" s="363"/>
      <c r="R661" s="364"/>
    </row>
    <row r="662" ht="16.5" hidden="1" customHeight="1" spans="1:18">
      <c r="A662" s="347" t="s">
        <v>621</v>
      </c>
      <c r="B662" s="348"/>
      <c r="C662" s="348"/>
      <c r="D662" s="349"/>
      <c r="E662" s="348"/>
      <c r="F662" s="345"/>
      <c r="G662" s="346"/>
      <c r="H662" s="367">
        <v>0</v>
      </c>
      <c r="I662" s="345"/>
      <c r="J662" s="349"/>
      <c r="K662" s="325"/>
      <c r="L662" s="325">
        <f t="shared" si="41"/>
        <v>0</v>
      </c>
      <c r="O662" s="325"/>
      <c r="P662" s="363"/>
      <c r="Q662" s="363"/>
      <c r="R662" s="364"/>
    </row>
    <row r="663" ht="16.5" customHeight="1" spans="1:18">
      <c r="A663" s="347" t="s">
        <v>622</v>
      </c>
      <c r="B663" s="348"/>
      <c r="C663" s="348"/>
      <c r="D663" s="349"/>
      <c r="E663" s="348"/>
      <c r="F663" s="345"/>
      <c r="G663" s="346"/>
      <c r="H663" s="367">
        <v>334426.189</v>
      </c>
      <c r="I663" s="345"/>
      <c r="J663" s="349"/>
      <c r="K663" s="325"/>
      <c r="L663" s="325">
        <f t="shared" si="41"/>
        <v>334426.189</v>
      </c>
      <c r="O663" s="325"/>
      <c r="P663" s="363"/>
      <c r="Q663" s="363"/>
      <c r="R663" s="364"/>
    </row>
    <row r="664" ht="16.5" hidden="1" customHeight="1" spans="1:18">
      <c r="A664" s="347" t="s">
        <v>623</v>
      </c>
      <c r="B664" s="348"/>
      <c r="C664" s="348"/>
      <c r="D664" s="349"/>
      <c r="E664" s="348"/>
      <c r="F664" s="345"/>
      <c r="G664" s="346"/>
      <c r="H664" s="367">
        <v>0</v>
      </c>
      <c r="I664" s="366"/>
      <c r="J664" s="366"/>
      <c r="K664" s="325"/>
      <c r="L664" s="325">
        <f t="shared" si="41"/>
        <v>0</v>
      </c>
      <c r="O664" s="325"/>
      <c r="P664" s="374"/>
      <c r="Q664" s="374"/>
      <c r="R664" s="364"/>
    </row>
    <row r="665" s="326" customFormat="1" ht="16.5" customHeight="1" spans="1:18">
      <c r="A665" s="347" t="s">
        <v>624</v>
      </c>
      <c r="B665" s="348">
        <v>163</v>
      </c>
      <c r="C665" s="348">
        <v>141</v>
      </c>
      <c r="D665" s="349">
        <f>C665/B665*100</f>
        <v>86.5030674846626</v>
      </c>
      <c r="E665" s="348">
        <v>179</v>
      </c>
      <c r="F665" s="345">
        <f>C665-E665</f>
        <v>-38</v>
      </c>
      <c r="G665" s="346">
        <f>F665/E665*100</f>
        <v>-21.2290502793296</v>
      </c>
      <c r="H665" s="348">
        <f>SUM(H666:H668)</f>
        <v>100</v>
      </c>
      <c r="I665" s="345">
        <f>H665-B665</f>
        <v>-63</v>
      </c>
      <c r="J665" s="349">
        <f>I665/B665*100</f>
        <v>-38.6503067484663</v>
      </c>
      <c r="K665" s="325"/>
      <c r="L665" s="325">
        <f t="shared" si="41"/>
        <v>241</v>
      </c>
      <c r="O665" s="325"/>
      <c r="P665" s="363"/>
      <c r="Q665" s="363"/>
      <c r="R665" s="364"/>
    </row>
    <row r="666" ht="16.5" customHeight="1" spans="1:18">
      <c r="A666" s="347" t="s">
        <v>625</v>
      </c>
      <c r="B666" s="348"/>
      <c r="C666" s="348"/>
      <c r="D666" s="349"/>
      <c r="E666" s="348"/>
      <c r="F666" s="345"/>
      <c r="G666" s="346"/>
      <c r="H666" s="348">
        <v>100</v>
      </c>
      <c r="I666" s="345"/>
      <c r="J666" s="349"/>
      <c r="K666" s="325"/>
      <c r="L666" s="325">
        <f t="shared" si="41"/>
        <v>100</v>
      </c>
      <c r="O666" s="325"/>
      <c r="P666" s="363"/>
      <c r="Q666" s="363"/>
      <c r="R666" s="364"/>
    </row>
    <row r="667" ht="16.5" hidden="1" customHeight="1" spans="1:18">
      <c r="A667" s="347" t="s">
        <v>626</v>
      </c>
      <c r="B667" s="348"/>
      <c r="C667" s="348"/>
      <c r="D667" s="349"/>
      <c r="E667" s="348"/>
      <c r="F667" s="345"/>
      <c r="G667" s="346"/>
      <c r="H667" s="348">
        <v>0</v>
      </c>
      <c r="I667" s="345"/>
      <c r="J667" s="349"/>
      <c r="K667" s="325"/>
      <c r="L667" s="325">
        <f t="shared" si="41"/>
        <v>0</v>
      </c>
      <c r="O667" s="325"/>
      <c r="P667" s="363"/>
      <c r="Q667" s="363"/>
      <c r="R667" s="364"/>
    </row>
    <row r="668" ht="16.5" hidden="1" customHeight="1" spans="1:18">
      <c r="A668" s="347" t="s">
        <v>627</v>
      </c>
      <c r="B668" s="348"/>
      <c r="C668" s="348"/>
      <c r="D668" s="349"/>
      <c r="E668" s="348"/>
      <c r="F668" s="345"/>
      <c r="G668" s="346"/>
      <c r="H668" s="348">
        <v>0</v>
      </c>
      <c r="I668" s="345"/>
      <c r="J668" s="349"/>
      <c r="K668" s="325"/>
      <c r="L668" s="325">
        <f t="shared" si="41"/>
        <v>0</v>
      </c>
      <c r="O668" s="325"/>
      <c r="P668" s="363"/>
      <c r="Q668" s="363"/>
      <c r="R668" s="364"/>
    </row>
    <row r="669" s="326" customFormat="1" ht="16.5" customHeight="1" spans="1:18">
      <c r="A669" s="347" t="s">
        <v>628</v>
      </c>
      <c r="B669" s="348">
        <v>239</v>
      </c>
      <c r="C669" s="348">
        <v>84</v>
      </c>
      <c r="D669" s="349">
        <f>C669/B669*100</f>
        <v>35.1464435146443</v>
      </c>
      <c r="E669" s="348">
        <v>153</v>
      </c>
      <c r="F669" s="345">
        <f>C669-E669</f>
        <v>-69</v>
      </c>
      <c r="G669" s="346">
        <f>F669/E669*100</f>
        <v>-45.0980392156863</v>
      </c>
      <c r="H669" s="348">
        <f>SUM(H670:H671)</f>
        <v>203.459012</v>
      </c>
      <c r="I669" s="345">
        <f>H669-B669</f>
        <v>-35.540988</v>
      </c>
      <c r="J669" s="349">
        <f>I669/B669*100</f>
        <v>-14.8707062761506</v>
      </c>
      <c r="K669" s="325"/>
      <c r="L669" s="325">
        <f t="shared" si="41"/>
        <v>287.459012</v>
      </c>
      <c r="O669" s="325"/>
      <c r="P669" s="363"/>
      <c r="Q669" s="363"/>
      <c r="R669" s="364"/>
    </row>
    <row r="670" ht="16.5" customHeight="1" spans="1:18">
      <c r="A670" s="347" t="s">
        <v>629</v>
      </c>
      <c r="B670" s="348"/>
      <c r="C670" s="348"/>
      <c r="D670" s="349"/>
      <c r="E670" s="348"/>
      <c r="F670" s="345"/>
      <c r="G670" s="346"/>
      <c r="H670" s="348">
        <v>203.459012</v>
      </c>
      <c r="I670" s="345"/>
      <c r="J670" s="349"/>
      <c r="K670" s="325"/>
      <c r="L670" s="325">
        <f t="shared" si="41"/>
        <v>203.459012</v>
      </c>
      <c r="O670" s="325"/>
      <c r="P670" s="363"/>
      <c r="Q670" s="363"/>
      <c r="R670" s="364"/>
    </row>
    <row r="671" ht="16.5" hidden="1" customHeight="1" spans="1:18">
      <c r="A671" s="347" t="s">
        <v>630</v>
      </c>
      <c r="B671" s="348"/>
      <c r="C671" s="348"/>
      <c r="D671" s="349"/>
      <c r="E671" s="348"/>
      <c r="F671" s="345"/>
      <c r="G671" s="346"/>
      <c r="H671" s="348">
        <v>0</v>
      </c>
      <c r="I671" s="345"/>
      <c r="J671" s="349"/>
      <c r="K671" s="325"/>
      <c r="L671" s="325">
        <f t="shared" si="41"/>
        <v>0</v>
      </c>
      <c r="O671" s="325"/>
      <c r="P671" s="363"/>
      <c r="Q671" s="363"/>
      <c r="R671" s="364"/>
    </row>
    <row r="672" s="326" customFormat="1" ht="16.5" customHeight="1" spans="1:18">
      <c r="A672" s="347" t="s">
        <v>631</v>
      </c>
      <c r="B672" s="348">
        <v>1193</v>
      </c>
      <c r="C672" s="348">
        <v>1137</v>
      </c>
      <c r="D672" s="349">
        <f>C672/B672*100</f>
        <v>95.3059513830679</v>
      </c>
      <c r="E672" s="348">
        <v>1100</v>
      </c>
      <c r="F672" s="345">
        <f>C672-E672</f>
        <v>37</v>
      </c>
      <c r="G672" s="346">
        <f>F672/E672*100</f>
        <v>3.36363636363636</v>
      </c>
      <c r="H672" s="348">
        <f>SUM(H673:H680)</f>
        <v>1355.47004</v>
      </c>
      <c r="I672" s="345">
        <f>H672-B672</f>
        <v>162.47004</v>
      </c>
      <c r="J672" s="349">
        <f>I672/B672*100</f>
        <v>13.6186119027661</v>
      </c>
      <c r="K672" s="325"/>
      <c r="L672" s="325">
        <f t="shared" si="41"/>
        <v>2492.47004</v>
      </c>
      <c r="O672" s="325"/>
      <c r="P672" s="363"/>
      <c r="Q672" s="363"/>
      <c r="R672" s="364"/>
    </row>
    <row r="673" ht="16.5" customHeight="1" spans="1:18">
      <c r="A673" s="347" t="s">
        <v>155</v>
      </c>
      <c r="B673" s="348"/>
      <c r="C673" s="348"/>
      <c r="D673" s="349"/>
      <c r="E673" s="348"/>
      <c r="F673" s="345"/>
      <c r="G673" s="346"/>
      <c r="H673" s="348">
        <v>510.03884</v>
      </c>
      <c r="I673" s="345"/>
      <c r="J673" s="349"/>
      <c r="K673" s="325"/>
      <c r="L673" s="325">
        <f t="shared" si="41"/>
        <v>510.03884</v>
      </c>
      <c r="O673" s="325"/>
      <c r="P673" s="363"/>
      <c r="Q673" s="363"/>
      <c r="R673" s="364"/>
    </row>
    <row r="674" ht="16.5" customHeight="1" spans="1:18">
      <c r="A674" s="347" t="s">
        <v>156</v>
      </c>
      <c r="B674" s="348"/>
      <c r="C674" s="348"/>
      <c r="D674" s="349"/>
      <c r="E674" s="348"/>
      <c r="F674" s="345"/>
      <c r="G674" s="346"/>
      <c r="H674" s="348">
        <v>4</v>
      </c>
      <c r="I674" s="345"/>
      <c r="J674" s="349"/>
      <c r="K674" s="325"/>
      <c r="L674" s="325">
        <f t="shared" si="41"/>
        <v>4</v>
      </c>
      <c r="O674" s="325"/>
      <c r="P674" s="363"/>
      <c r="Q674" s="363"/>
      <c r="R674" s="364"/>
    </row>
    <row r="675" ht="16.5" hidden="1" customHeight="1" spans="1:18">
      <c r="A675" s="347" t="s">
        <v>157</v>
      </c>
      <c r="B675" s="348"/>
      <c r="C675" s="348"/>
      <c r="D675" s="349"/>
      <c r="E675" s="348"/>
      <c r="F675" s="345"/>
      <c r="G675" s="346"/>
      <c r="H675" s="348">
        <v>0</v>
      </c>
      <c r="I675" s="345"/>
      <c r="J675" s="349"/>
      <c r="K675" s="325"/>
      <c r="L675" s="325">
        <f t="shared" si="41"/>
        <v>0</v>
      </c>
      <c r="O675" s="325"/>
      <c r="P675" s="363"/>
      <c r="Q675" s="363"/>
      <c r="R675" s="364"/>
    </row>
    <row r="676" ht="16.5" hidden="1" customHeight="1" spans="1:18">
      <c r="A676" s="347" t="s">
        <v>195</v>
      </c>
      <c r="B676" s="348"/>
      <c r="C676" s="348"/>
      <c r="D676" s="349"/>
      <c r="E676" s="348"/>
      <c r="F676" s="345"/>
      <c r="G676" s="346"/>
      <c r="H676" s="348">
        <v>0</v>
      </c>
      <c r="I676" s="345"/>
      <c r="J676" s="349"/>
      <c r="K676" s="325"/>
      <c r="L676" s="325">
        <f t="shared" si="41"/>
        <v>0</v>
      </c>
      <c r="O676" s="325"/>
      <c r="P676" s="363"/>
      <c r="Q676" s="363"/>
      <c r="R676" s="364"/>
    </row>
    <row r="677" ht="16.5" customHeight="1" spans="1:18">
      <c r="A677" s="347" t="s">
        <v>632</v>
      </c>
      <c r="B677" s="348"/>
      <c r="C677" s="348"/>
      <c r="D677" s="349"/>
      <c r="E677" s="348"/>
      <c r="F677" s="345"/>
      <c r="G677" s="346"/>
      <c r="H677" s="348">
        <v>222</v>
      </c>
      <c r="I677" s="345"/>
      <c r="J677" s="349"/>
      <c r="K677" s="325"/>
      <c r="L677" s="325">
        <f t="shared" si="41"/>
        <v>222</v>
      </c>
      <c r="O677" s="325"/>
      <c r="P677" s="363"/>
      <c r="Q677" s="363"/>
      <c r="R677" s="364"/>
    </row>
    <row r="678" ht="16.5" customHeight="1" spans="1:18">
      <c r="A678" s="347" t="s">
        <v>633</v>
      </c>
      <c r="B678" s="348"/>
      <c r="C678" s="348"/>
      <c r="D678" s="349"/>
      <c r="E678" s="348"/>
      <c r="F678" s="345"/>
      <c r="G678" s="346"/>
      <c r="H678" s="348">
        <v>601.7</v>
      </c>
      <c r="I678" s="345"/>
      <c r="J678" s="349"/>
      <c r="K678" s="325"/>
      <c r="L678" s="325">
        <f t="shared" si="41"/>
        <v>601.7</v>
      </c>
      <c r="O678" s="325"/>
      <c r="P678" s="363"/>
      <c r="Q678" s="363"/>
      <c r="R678" s="364"/>
    </row>
    <row r="679" ht="16.5" customHeight="1" spans="1:18">
      <c r="A679" s="347" t="s">
        <v>164</v>
      </c>
      <c r="B679" s="348"/>
      <c r="C679" s="348"/>
      <c r="D679" s="349"/>
      <c r="E679" s="348"/>
      <c r="F679" s="345"/>
      <c r="G679" s="346"/>
      <c r="H679" s="348">
        <v>17.7312</v>
      </c>
      <c r="I679" s="345"/>
      <c r="J679" s="349"/>
      <c r="K679" s="325"/>
      <c r="L679" s="325">
        <f t="shared" si="41"/>
        <v>17.7312</v>
      </c>
      <c r="O679" s="325"/>
      <c r="P679" s="363"/>
      <c r="Q679" s="363"/>
      <c r="R679" s="364"/>
    </row>
    <row r="680" ht="16.5" hidden="1" customHeight="1" spans="1:18">
      <c r="A680" s="347" t="s">
        <v>634</v>
      </c>
      <c r="B680" s="348"/>
      <c r="C680" s="348"/>
      <c r="D680" s="349"/>
      <c r="E680" s="348"/>
      <c r="F680" s="345"/>
      <c r="G680" s="346"/>
      <c r="H680" s="348">
        <v>0</v>
      </c>
      <c r="I680" s="345"/>
      <c r="J680" s="349"/>
      <c r="K680" s="325"/>
      <c r="L680" s="325">
        <f t="shared" si="41"/>
        <v>0</v>
      </c>
      <c r="O680" s="325"/>
      <c r="P680" s="363"/>
      <c r="Q680" s="363"/>
      <c r="R680" s="364"/>
    </row>
    <row r="681" s="326" customFormat="1" ht="16.5" customHeight="1" spans="1:18">
      <c r="A681" s="347" t="s">
        <v>635</v>
      </c>
      <c r="B681" s="348">
        <v>1128</v>
      </c>
      <c r="C681" s="348">
        <v>575</v>
      </c>
      <c r="D681" s="349">
        <f>C681/B681*100</f>
        <v>50.9751773049645</v>
      </c>
      <c r="E681" s="348">
        <v>950</v>
      </c>
      <c r="F681" s="345">
        <f>C681-E681</f>
        <v>-375</v>
      </c>
      <c r="G681" s="346">
        <f>F681/E681*100</f>
        <v>-39.4736842105263</v>
      </c>
      <c r="H681" s="348">
        <f>SUM(H682:H687)</f>
        <v>15301.095158</v>
      </c>
      <c r="I681" s="345">
        <f>H681-B681</f>
        <v>14173.095158</v>
      </c>
      <c r="J681" s="349">
        <f>I681/B681*100</f>
        <v>1256.48006719858</v>
      </c>
      <c r="K681" s="325"/>
      <c r="L681" s="325">
        <f t="shared" si="41"/>
        <v>15876.095158</v>
      </c>
      <c r="O681" s="325"/>
      <c r="P681" s="363"/>
      <c r="Q681" s="363"/>
      <c r="R681" s="364"/>
    </row>
    <row r="682" ht="16.5" hidden="1" customHeight="1" spans="1:18">
      <c r="A682" s="347" t="s">
        <v>155</v>
      </c>
      <c r="B682" s="348"/>
      <c r="C682" s="348"/>
      <c r="D682" s="349"/>
      <c r="E682" s="348"/>
      <c r="F682" s="345"/>
      <c r="G682" s="346"/>
      <c r="H682" s="348">
        <v>0</v>
      </c>
      <c r="I682" s="345"/>
      <c r="J682" s="349"/>
      <c r="K682" s="325"/>
      <c r="L682" s="325">
        <f t="shared" si="41"/>
        <v>0</v>
      </c>
      <c r="O682" s="325"/>
      <c r="P682" s="363"/>
      <c r="Q682" s="363"/>
      <c r="R682" s="364"/>
    </row>
    <row r="683" ht="16.5" hidden="1" customHeight="1" spans="1:18">
      <c r="A683" s="347" t="s">
        <v>156</v>
      </c>
      <c r="B683" s="348"/>
      <c r="C683" s="348"/>
      <c r="D683" s="349"/>
      <c r="E683" s="348"/>
      <c r="F683" s="345"/>
      <c r="G683" s="346"/>
      <c r="H683" s="348">
        <v>0</v>
      </c>
      <c r="I683" s="345"/>
      <c r="J683" s="349"/>
      <c r="K683" s="325"/>
      <c r="L683" s="325">
        <f t="shared" si="41"/>
        <v>0</v>
      </c>
      <c r="O683" s="325"/>
      <c r="P683" s="363"/>
      <c r="Q683" s="363"/>
      <c r="R683" s="364"/>
    </row>
    <row r="684" ht="16.5" hidden="1" customHeight="1" spans="1:18">
      <c r="A684" s="347" t="s">
        <v>157</v>
      </c>
      <c r="B684" s="348"/>
      <c r="C684" s="348"/>
      <c r="D684" s="349"/>
      <c r="E684" s="348"/>
      <c r="F684" s="345"/>
      <c r="G684" s="346"/>
      <c r="H684" s="348">
        <v>0</v>
      </c>
      <c r="I684" s="345"/>
      <c r="J684" s="349"/>
      <c r="K684" s="325"/>
      <c r="L684" s="325">
        <f t="shared" si="41"/>
        <v>0</v>
      </c>
      <c r="O684" s="325"/>
      <c r="P684" s="363"/>
      <c r="Q684" s="363"/>
      <c r="R684" s="364"/>
    </row>
    <row r="685" ht="16.5" customHeight="1" spans="1:18">
      <c r="A685" s="347" t="s">
        <v>636</v>
      </c>
      <c r="B685" s="348"/>
      <c r="C685" s="348"/>
      <c r="D685" s="349"/>
      <c r="E685" s="348"/>
      <c r="F685" s="345"/>
      <c r="G685" s="346"/>
      <c r="H685" s="348">
        <v>14904.625226</v>
      </c>
      <c r="I685" s="345"/>
      <c r="J685" s="349"/>
      <c r="K685" s="325"/>
      <c r="L685" s="325">
        <f t="shared" si="41"/>
        <v>14904.625226</v>
      </c>
      <c r="O685" s="325"/>
      <c r="P685" s="363"/>
      <c r="Q685" s="363"/>
      <c r="R685" s="364"/>
    </row>
    <row r="686" ht="16.5" hidden="1" customHeight="1" spans="1:18">
      <c r="A686" s="347" t="s">
        <v>164</v>
      </c>
      <c r="B686" s="326"/>
      <c r="C686" s="348"/>
      <c r="D686" s="349"/>
      <c r="E686" s="348"/>
      <c r="F686" s="345"/>
      <c r="G686" s="346"/>
      <c r="H686" s="348">
        <v>0</v>
      </c>
      <c r="I686" s="345"/>
      <c r="J686" s="349"/>
      <c r="K686" s="325"/>
      <c r="L686" s="325">
        <f t="shared" si="41"/>
        <v>0</v>
      </c>
      <c r="O686" s="325"/>
      <c r="P686" s="363"/>
      <c r="Q686" s="363"/>
      <c r="R686" s="364"/>
    </row>
    <row r="687" ht="16.5" customHeight="1" spans="1:18">
      <c r="A687" s="347" t="s">
        <v>637</v>
      </c>
      <c r="B687" s="348"/>
      <c r="C687" s="348"/>
      <c r="D687" s="349"/>
      <c r="E687" s="348"/>
      <c r="F687" s="345"/>
      <c r="G687" s="346"/>
      <c r="H687" s="348">
        <v>396.469932</v>
      </c>
      <c r="I687" s="345"/>
      <c r="J687" s="349"/>
      <c r="K687" s="325"/>
      <c r="L687" s="325">
        <f t="shared" si="41"/>
        <v>396.469932</v>
      </c>
      <c r="O687" s="325"/>
      <c r="P687" s="363"/>
      <c r="Q687" s="363"/>
      <c r="R687" s="364"/>
    </row>
    <row r="688" s="326" customFormat="1" ht="16.5" customHeight="1" spans="1:18">
      <c r="A688" s="347" t="s">
        <v>638</v>
      </c>
      <c r="B688" s="348">
        <v>11</v>
      </c>
      <c r="C688" s="348">
        <v>15</v>
      </c>
      <c r="D688" s="349"/>
      <c r="E688" s="348"/>
      <c r="F688" s="345">
        <f>C688-E688</f>
        <v>15</v>
      </c>
      <c r="G688" s="346"/>
      <c r="H688" s="348">
        <f>SUM(H689:H692)</f>
        <v>0</v>
      </c>
      <c r="I688" s="345"/>
      <c r="J688" s="349"/>
      <c r="K688" s="325"/>
      <c r="L688" s="325">
        <f t="shared" si="41"/>
        <v>15</v>
      </c>
      <c r="O688" s="325"/>
      <c r="P688" s="363"/>
      <c r="Q688" s="363"/>
      <c r="R688" s="364"/>
    </row>
    <row r="689" ht="16.5" hidden="1" customHeight="1" spans="1:18">
      <c r="A689" s="347" t="s">
        <v>155</v>
      </c>
      <c r="B689" s="348"/>
      <c r="C689" s="348"/>
      <c r="D689" s="349"/>
      <c r="E689" s="348"/>
      <c r="F689" s="345"/>
      <c r="G689" s="346"/>
      <c r="H689" s="348">
        <v>0</v>
      </c>
      <c r="I689" s="345"/>
      <c r="J689" s="349"/>
      <c r="K689" s="325"/>
      <c r="L689" s="325">
        <f t="shared" si="41"/>
        <v>0</v>
      </c>
      <c r="O689" s="325"/>
      <c r="P689" s="363"/>
      <c r="Q689" s="363"/>
      <c r="R689" s="364"/>
    </row>
    <row r="690" ht="16.5" hidden="1" customHeight="1" spans="1:18">
      <c r="A690" s="347" t="s">
        <v>156</v>
      </c>
      <c r="B690" s="348"/>
      <c r="C690" s="348"/>
      <c r="D690" s="349"/>
      <c r="E690" s="348"/>
      <c r="F690" s="345"/>
      <c r="G690" s="346"/>
      <c r="H690" s="348">
        <v>0</v>
      </c>
      <c r="I690" s="345"/>
      <c r="J690" s="349"/>
      <c r="K690" s="325"/>
      <c r="L690" s="325">
        <f t="shared" si="41"/>
        <v>0</v>
      </c>
      <c r="O690" s="325"/>
      <c r="P690" s="363"/>
      <c r="Q690" s="363"/>
      <c r="R690" s="364"/>
    </row>
    <row r="691" ht="16.5" hidden="1" customHeight="1" spans="1:18">
      <c r="A691" s="347" t="s">
        <v>157</v>
      </c>
      <c r="B691" s="348"/>
      <c r="C691" s="348"/>
      <c r="D691" s="349"/>
      <c r="E691" s="348"/>
      <c r="F691" s="345"/>
      <c r="G691" s="346"/>
      <c r="H691" s="348">
        <v>0</v>
      </c>
      <c r="I691" s="345"/>
      <c r="J691" s="349"/>
      <c r="K691" s="325"/>
      <c r="L691" s="325">
        <f t="shared" si="41"/>
        <v>0</v>
      </c>
      <c r="O691" s="325"/>
      <c r="P691" s="363"/>
      <c r="Q691" s="363"/>
      <c r="R691" s="364"/>
    </row>
    <row r="692" ht="16.5" hidden="1" customHeight="1" spans="1:18">
      <c r="A692" s="347" t="s">
        <v>639</v>
      </c>
      <c r="B692" s="348"/>
      <c r="C692" s="348"/>
      <c r="D692" s="349"/>
      <c r="E692" s="348"/>
      <c r="F692" s="345"/>
      <c r="G692" s="346"/>
      <c r="H692" s="348"/>
      <c r="I692" s="345"/>
      <c r="J692" s="349"/>
      <c r="K692" s="325"/>
      <c r="L692" s="325">
        <f t="shared" si="41"/>
        <v>0</v>
      </c>
      <c r="O692" s="325"/>
      <c r="P692" s="363"/>
      <c r="Q692" s="363"/>
      <c r="R692" s="364"/>
    </row>
    <row r="693" s="326" customFormat="1" ht="16.5" hidden="1" customHeight="1" spans="1:18">
      <c r="A693" s="373" t="s">
        <v>640</v>
      </c>
      <c r="B693" s="348"/>
      <c r="C693" s="348"/>
      <c r="D693" s="349"/>
      <c r="E693" s="348"/>
      <c r="F693" s="345">
        <f t="shared" ref="F693:F699" si="42">C693-E693</f>
        <v>0</v>
      </c>
      <c r="G693" s="346"/>
      <c r="H693" s="348">
        <f>SUM(H694:H696)</f>
        <v>0</v>
      </c>
      <c r="I693" s="345"/>
      <c r="J693" s="349"/>
      <c r="K693" s="325"/>
      <c r="L693" s="325">
        <f t="shared" si="41"/>
        <v>0</v>
      </c>
      <c r="O693" s="325"/>
      <c r="P693" s="363"/>
      <c r="Q693" s="363"/>
      <c r="R693" s="364"/>
    </row>
    <row r="694" ht="16.5" hidden="1" customHeight="1" spans="1:18">
      <c r="A694" s="347" t="s">
        <v>641</v>
      </c>
      <c r="B694" s="348"/>
      <c r="C694" s="348"/>
      <c r="D694" s="349"/>
      <c r="E694" s="348"/>
      <c r="F694" s="345"/>
      <c r="G694" s="346"/>
      <c r="H694" s="348">
        <v>0</v>
      </c>
      <c r="I694" s="345"/>
      <c r="J694" s="349"/>
      <c r="K694" s="325"/>
      <c r="L694" s="325">
        <f t="shared" si="41"/>
        <v>0</v>
      </c>
      <c r="O694" s="325"/>
      <c r="P694" s="363"/>
      <c r="Q694" s="363"/>
      <c r="R694" s="364"/>
    </row>
    <row r="695" ht="16.5" hidden="1" customHeight="1" spans="1:18">
      <c r="A695" s="373" t="s">
        <v>642</v>
      </c>
      <c r="B695" s="348"/>
      <c r="C695" s="348"/>
      <c r="D695" s="349"/>
      <c r="E695" s="348"/>
      <c r="F695" s="345"/>
      <c r="G695" s="346"/>
      <c r="H695" s="348">
        <v>0</v>
      </c>
      <c r="I695" s="345"/>
      <c r="J695" s="349"/>
      <c r="K695" s="325"/>
      <c r="L695" s="325">
        <f t="shared" si="41"/>
        <v>0</v>
      </c>
      <c r="O695" s="325"/>
      <c r="P695" s="363"/>
      <c r="Q695" s="363"/>
      <c r="R695" s="364"/>
    </row>
    <row r="696" ht="16.5" hidden="1" customHeight="1" spans="1:18">
      <c r="A696" s="373" t="s">
        <v>643</v>
      </c>
      <c r="B696" s="348"/>
      <c r="C696" s="348"/>
      <c r="D696" s="349"/>
      <c r="E696" s="348"/>
      <c r="F696" s="345"/>
      <c r="G696" s="346"/>
      <c r="H696" s="348">
        <v>0</v>
      </c>
      <c r="I696" s="345"/>
      <c r="J696" s="349"/>
      <c r="K696" s="325"/>
      <c r="L696" s="325">
        <f t="shared" si="41"/>
        <v>0</v>
      </c>
      <c r="O696" s="325"/>
      <c r="P696" s="363"/>
      <c r="Q696" s="363"/>
      <c r="R696" s="364"/>
    </row>
    <row r="697" s="326" customFormat="1" ht="16.5" customHeight="1" spans="1:18">
      <c r="A697" s="347" t="s">
        <v>644</v>
      </c>
      <c r="B697" s="348">
        <v>2154</v>
      </c>
      <c r="C697" s="348">
        <v>572</v>
      </c>
      <c r="D697" s="349">
        <f t="shared" ref="D697:D699" si="43">C697/B697*100</f>
        <v>26.5552460538533</v>
      </c>
      <c r="E697" s="348">
        <v>666</v>
      </c>
      <c r="F697" s="345">
        <f t="shared" si="42"/>
        <v>-94</v>
      </c>
      <c r="G697" s="346">
        <f t="shared" ref="G697:G699" si="44">F697/E697*100</f>
        <v>-14.1141141141141</v>
      </c>
      <c r="H697" s="348">
        <v>2156.12</v>
      </c>
      <c r="I697" s="345">
        <f t="shared" ref="I697:I699" si="45">H697-B697</f>
        <v>2.11999999999989</v>
      </c>
      <c r="J697" s="349">
        <f t="shared" ref="J697:J699" si="46">I697/B697*100</f>
        <v>0.0984215413184722</v>
      </c>
      <c r="K697" s="325"/>
      <c r="L697" s="325">
        <f t="shared" si="41"/>
        <v>2728.12</v>
      </c>
      <c r="O697" s="325"/>
      <c r="P697" s="363"/>
      <c r="Q697" s="363"/>
      <c r="R697" s="364"/>
    </row>
    <row r="698" s="325" customFormat="1" ht="16.5" customHeight="1" spans="1:18">
      <c r="A698" s="344" t="s">
        <v>645</v>
      </c>
      <c r="B698" s="345">
        <f>B699+B709+B713+B722+B729+B736+B737+B738+B739+B740+B746+B747+B748+B759</f>
        <v>7964</v>
      </c>
      <c r="C698" s="345">
        <f>C699+C709+C713+C722+C729+C736+C737+C738+C739+C740+C746+C747+C748+C759</f>
        <v>7509.25</v>
      </c>
      <c r="D698" s="349">
        <f t="shared" si="43"/>
        <v>94.2899296835761</v>
      </c>
      <c r="E698" s="345">
        <f>E699+E709+E713+E722+E729+E736+E737+E738+E739+E740+E746+E747+E748+E759</f>
        <v>10349</v>
      </c>
      <c r="F698" s="345">
        <f t="shared" si="42"/>
        <v>-2839.75</v>
      </c>
      <c r="G698" s="346">
        <f t="shared" si="44"/>
        <v>-27.4398492607981</v>
      </c>
      <c r="H698" s="345">
        <f>H699+H709+H713+H722+H729+H736+H737+H738+H739+H740+H746+H747+H748+H759</f>
        <v>10754.743497</v>
      </c>
      <c r="I698" s="345">
        <f t="shared" si="45"/>
        <v>2790.743497</v>
      </c>
      <c r="J698" s="349">
        <f t="shared" si="46"/>
        <v>35.0419826343546</v>
      </c>
      <c r="L698" s="325">
        <f t="shared" si="41"/>
        <v>18263.993497</v>
      </c>
      <c r="P698" s="362"/>
      <c r="Q698" s="362"/>
      <c r="R698" s="364"/>
    </row>
    <row r="699" s="326" customFormat="1" ht="16.5" customHeight="1" spans="1:18">
      <c r="A699" s="347" t="s">
        <v>646</v>
      </c>
      <c r="B699" s="348">
        <v>3828</v>
      </c>
      <c r="C699" s="348">
        <v>5027</v>
      </c>
      <c r="D699" s="349">
        <f t="shared" si="43"/>
        <v>131.32183908046</v>
      </c>
      <c r="E699" s="348">
        <v>5770</v>
      </c>
      <c r="F699" s="345">
        <f t="shared" si="42"/>
        <v>-743</v>
      </c>
      <c r="G699" s="346">
        <f t="shared" si="44"/>
        <v>-12.8769497400347</v>
      </c>
      <c r="H699" s="348">
        <f>SUM(H700:H708)</f>
        <v>3625.772525</v>
      </c>
      <c r="I699" s="345">
        <f t="shared" si="45"/>
        <v>-202.227475</v>
      </c>
      <c r="J699" s="349">
        <f t="shared" si="46"/>
        <v>-5.28284939916406</v>
      </c>
      <c r="K699" s="325"/>
      <c r="L699" s="325">
        <f t="shared" si="41"/>
        <v>8652.772525</v>
      </c>
      <c r="O699" s="325"/>
      <c r="P699" s="363"/>
      <c r="Q699" s="363"/>
      <c r="R699" s="364"/>
    </row>
    <row r="700" ht="16.5" customHeight="1" spans="1:18">
      <c r="A700" s="347" t="s">
        <v>155</v>
      </c>
      <c r="B700" s="348"/>
      <c r="C700" s="348"/>
      <c r="D700" s="349"/>
      <c r="E700" s="348"/>
      <c r="F700" s="345"/>
      <c r="G700" s="346"/>
      <c r="H700" s="348">
        <v>3028.347981</v>
      </c>
      <c r="I700" s="345"/>
      <c r="J700" s="349"/>
      <c r="K700" s="325"/>
      <c r="L700" s="325">
        <f t="shared" si="41"/>
        <v>3028.347981</v>
      </c>
      <c r="O700" s="325"/>
      <c r="P700" s="363"/>
      <c r="Q700" s="363"/>
      <c r="R700" s="364"/>
    </row>
    <row r="701" ht="16.5" customHeight="1" spans="1:18">
      <c r="A701" s="347" t="s">
        <v>156</v>
      </c>
      <c r="B701" s="348"/>
      <c r="C701" s="348"/>
      <c r="D701" s="349"/>
      <c r="E701" s="348"/>
      <c r="F701" s="345"/>
      <c r="G701" s="346"/>
      <c r="H701" s="348">
        <v>270.2</v>
      </c>
      <c r="I701" s="345"/>
      <c r="J701" s="349"/>
      <c r="K701" s="325"/>
      <c r="L701" s="325">
        <f t="shared" si="41"/>
        <v>270.2</v>
      </c>
      <c r="O701" s="325"/>
      <c r="P701" s="363"/>
      <c r="Q701" s="363"/>
      <c r="R701" s="364"/>
    </row>
    <row r="702" ht="16.5" customHeight="1" spans="1:18">
      <c r="A702" s="347" t="s">
        <v>157</v>
      </c>
      <c r="B702" s="348"/>
      <c r="C702" s="348"/>
      <c r="D702" s="349"/>
      <c r="E702" s="348"/>
      <c r="F702" s="345"/>
      <c r="G702" s="346"/>
      <c r="H702" s="348">
        <v>0.576</v>
      </c>
      <c r="I702" s="345"/>
      <c r="J702" s="349"/>
      <c r="K702" s="325"/>
      <c r="L702" s="325">
        <f t="shared" si="41"/>
        <v>0.576</v>
      </c>
      <c r="O702" s="325"/>
      <c r="P702" s="363"/>
      <c r="Q702" s="363"/>
      <c r="R702" s="364"/>
    </row>
    <row r="703" ht="16.5" hidden="1" customHeight="1" spans="1:18">
      <c r="A703" s="347" t="s">
        <v>647</v>
      </c>
      <c r="B703" s="348"/>
      <c r="C703" s="348"/>
      <c r="D703" s="349"/>
      <c r="E703" s="348"/>
      <c r="F703" s="345"/>
      <c r="G703" s="346"/>
      <c r="H703" s="348">
        <v>0</v>
      </c>
      <c r="I703" s="345"/>
      <c r="J703" s="349"/>
      <c r="K703" s="325"/>
      <c r="L703" s="325">
        <f t="shared" si="41"/>
        <v>0</v>
      </c>
      <c r="O703" s="325"/>
      <c r="P703" s="363"/>
      <c r="Q703" s="363"/>
      <c r="R703" s="364"/>
    </row>
    <row r="704" ht="16.5" hidden="1" customHeight="1" spans="1:18">
      <c r="A704" s="347" t="s">
        <v>648</v>
      </c>
      <c r="B704" s="348"/>
      <c r="C704" s="348"/>
      <c r="D704" s="349"/>
      <c r="E704" s="348"/>
      <c r="F704" s="345"/>
      <c r="G704" s="346"/>
      <c r="H704" s="348">
        <v>0</v>
      </c>
      <c r="I704" s="345"/>
      <c r="J704" s="349"/>
      <c r="K704" s="325"/>
      <c r="L704" s="325">
        <f t="shared" si="41"/>
        <v>0</v>
      </c>
      <c r="O704" s="325"/>
      <c r="P704" s="363"/>
      <c r="Q704" s="363"/>
      <c r="R704" s="364"/>
    </row>
    <row r="705" ht="16.5" hidden="1" customHeight="1" spans="1:18">
      <c r="A705" s="347" t="s">
        <v>649</v>
      </c>
      <c r="B705" s="348"/>
      <c r="C705" s="348"/>
      <c r="D705" s="349"/>
      <c r="E705" s="348"/>
      <c r="F705" s="345"/>
      <c r="G705" s="346"/>
      <c r="H705" s="348">
        <v>0</v>
      </c>
      <c r="I705" s="345"/>
      <c r="J705" s="349"/>
      <c r="K705" s="325"/>
      <c r="L705" s="325">
        <f t="shared" si="41"/>
        <v>0</v>
      </c>
      <c r="O705" s="325"/>
      <c r="P705" s="363"/>
      <c r="Q705" s="363"/>
      <c r="R705" s="364"/>
    </row>
    <row r="706" ht="16.5" hidden="1" customHeight="1" spans="1:18">
      <c r="A706" s="347" t="s">
        <v>650</v>
      </c>
      <c r="B706" s="348"/>
      <c r="C706" s="348"/>
      <c r="D706" s="349"/>
      <c r="E706" s="348"/>
      <c r="F706" s="345"/>
      <c r="G706" s="346"/>
      <c r="H706" s="348">
        <v>0</v>
      </c>
      <c r="I706" s="345"/>
      <c r="J706" s="349"/>
      <c r="K706" s="325"/>
      <c r="L706" s="325">
        <f t="shared" si="41"/>
        <v>0</v>
      </c>
      <c r="O706" s="325"/>
      <c r="P706" s="363"/>
      <c r="Q706" s="363"/>
      <c r="R706" s="364"/>
    </row>
    <row r="707" ht="16.5" hidden="1" customHeight="1" spans="1:18">
      <c r="A707" s="347" t="s">
        <v>651</v>
      </c>
      <c r="B707" s="348"/>
      <c r="C707" s="348"/>
      <c r="D707" s="349"/>
      <c r="E707" s="348"/>
      <c r="F707" s="345"/>
      <c r="G707" s="346"/>
      <c r="H707" s="348">
        <v>0</v>
      </c>
      <c r="I707" s="345"/>
      <c r="J707" s="349"/>
      <c r="K707" s="325"/>
      <c r="L707" s="325">
        <f t="shared" si="41"/>
        <v>0</v>
      </c>
      <c r="O707" s="325"/>
      <c r="P707" s="363"/>
      <c r="Q707" s="363"/>
      <c r="R707" s="364"/>
    </row>
    <row r="708" ht="16.5" customHeight="1" spans="1:18">
      <c r="A708" s="347" t="s">
        <v>652</v>
      </c>
      <c r="B708" s="348"/>
      <c r="C708" s="348"/>
      <c r="D708" s="349"/>
      <c r="E708" s="348"/>
      <c r="F708" s="345"/>
      <c r="G708" s="346"/>
      <c r="H708" s="348">
        <v>326.648544</v>
      </c>
      <c r="I708" s="345"/>
      <c r="J708" s="349"/>
      <c r="K708" s="325"/>
      <c r="L708" s="325">
        <f t="shared" si="41"/>
        <v>326.648544</v>
      </c>
      <c r="O708" s="325"/>
      <c r="P708" s="363"/>
      <c r="Q708" s="363"/>
      <c r="R708" s="364"/>
    </row>
    <row r="709" s="326" customFormat="1" ht="16.5" customHeight="1" spans="1:18">
      <c r="A709" s="347" t="s">
        <v>653</v>
      </c>
      <c r="B709" s="348">
        <v>3</v>
      </c>
      <c r="C709" s="348">
        <v>2.77</v>
      </c>
      <c r="D709" s="349">
        <f>C709/B709*100</f>
        <v>92.3333333333333</v>
      </c>
      <c r="E709" s="348">
        <v>473</v>
      </c>
      <c r="F709" s="345">
        <f>C709-E709</f>
        <v>-470.23</v>
      </c>
      <c r="G709" s="346">
        <f>F709/E709*100</f>
        <v>-99.4143763213531</v>
      </c>
      <c r="H709" s="348">
        <f>SUM(H710:H712)</f>
        <v>0</v>
      </c>
      <c r="I709" s="345">
        <f>H709-B709</f>
        <v>-3</v>
      </c>
      <c r="J709" s="349">
        <f>I709/B709*100</f>
        <v>-100</v>
      </c>
      <c r="K709" s="325"/>
      <c r="L709" s="325">
        <f t="shared" si="41"/>
        <v>2.77</v>
      </c>
      <c r="O709" s="325"/>
      <c r="P709" s="363"/>
      <c r="Q709" s="363"/>
      <c r="R709" s="364"/>
    </row>
    <row r="710" ht="16.5" hidden="1" customHeight="1" spans="1:18">
      <c r="A710" s="347" t="s">
        <v>654</v>
      </c>
      <c r="B710" s="348"/>
      <c r="C710" s="348"/>
      <c r="D710" s="349"/>
      <c r="E710" s="348"/>
      <c r="F710" s="345"/>
      <c r="G710" s="346"/>
      <c r="H710" s="348"/>
      <c r="I710" s="345"/>
      <c r="J710" s="349"/>
      <c r="K710" s="325"/>
      <c r="L710" s="325">
        <f t="shared" si="41"/>
        <v>0</v>
      </c>
      <c r="O710" s="325"/>
      <c r="P710" s="363"/>
      <c r="Q710" s="363"/>
      <c r="R710" s="364"/>
    </row>
    <row r="711" ht="16.5" hidden="1" customHeight="1" spans="1:18">
      <c r="A711" s="347" t="s">
        <v>655</v>
      </c>
      <c r="B711" s="348"/>
      <c r="C711" s="348"/>
      <c r="D711" s="349"/>
      <c r="E711" s="348"/>
      <c r="F711" s="345"/>
      <c r="G711" s="346"/>
      <c r="H711" s="348"/>
      <c r="I711" s="345"/>
      <c r="J711" s="349"/>
      <c r="K711" s="325"/>
      <c r="L711" s="325">
        <f t="shared" si="41"/>
        <v>0</v>
      </c>
      <c r="O711" s="325"/>
      <c r="P711" s="363"/>
      <c r="Q711" s="363"/>
      <c r="R711" s="364"/>
    </row>
    <row r="712" ht="16.5" hidden="1" customHeight="1" spans="1:18">
      <c r="A712" s="347" t="s">
        <v>656</v>
      </c>
      <c r="B712" s="348"/>
      <c r="C712" s="348"/>
      <c r="D712" s="349"/>
      <c r="E712" s="348"/>
      <c r="F712" s="345"/>
      <c r="G712" s="346"/>
      <c r="H712" s="348"/>
      <c r="I712" s="345"/>
      <c r="J712" s="349"/>
      <c r="K712" s="325"/>
      <c r="L712" s="325">
        <f t="shared" ref="L712:L775" si="47">C712+H712</f>
        <v>0</v>
      </c>
      <c r="O712" s="325"/>
      <c r="P712" s="363"/>
      <c r="Q712" s="363"/>
      <c r="R712" s="364"/>
    </row>
    <row r="713" s="326" customFormat="1" ht="16.5" customHeight="1" spans="1:18">
      <c r="A713" s="347" t="s">
        <v>657</v>
      </c>
      <c r="B713" s="348">
        <v>631</v>
      </c>
      <c r="C713" s="348">
        <v>901</v>
      </c>
      <c r="D713" s="349">
        <f>C713/B713*100</f>
        <v>142.789223454834</v>
      </c>
      <c r="E713" s="348">
        <v>2919</v>
      </c>
      <c r="F713" s="345">
        <f>C713-E713</f>
        <v>-2018</v>
      </c>
      <c r="G713" s="346">
        <f>F713/E713*100</f>
        <v>-69.1332648167181</v>
      </c>
      <c r="H713" s="348">
        <f>SUM(H714:H721)</f>
        <v>140.248032</v>
      </c>
      <c r="I713" s="345">
        <f>H713-B713</f>
        <v>-490.751968</v>
      </c>
      <c r="J713" s="349">
        <f>I713/B713*100</f>
        <v>-77.7736874801902</v>
      </c>
      <c r="K713" s="325"/>
      <c r="L713" s="325">
        <f t="shared" si="47"/>
        <v>1041.248032</v>
      </c>
      <c r="O713" s="325"/>
      <c r="P713" s="363"/>
      <c r="Q713" s="363"/>
      <c r="R713" s="364"/>
    </row>
    <row r="714" ht="16.5" hidden="1" customHeight="1" spans="1:18">
      <c r="A714" s="347" t="s">
        <v>658</v>
      </c>
      <c r="B714" s="348"/>
      <c r="C714" s="348"/>
      <c r="D714" s="349"/>
      <c r="E714" s="348"/>
      <c r="F714" s="345"/>
      <c r="G714" s="346"/>
      <c r="H714" s="348">
        <v>0</v>
      </c>
      <c r="I714" s="345"/>
      <c r="J714" s="349"/>
      <c r="K714" s="325"/>
      <c r="L714" s="325">
        <f t="shared" si="47"/>
        <v>0</v>
      </c>
      <c r="O714" s="325"/>
      <c r="P714" s="363"/>
      <c r="Q714" s="363"/>
      <c r="R714" s="364"/>
    </row>
    <row r="715" ht="16.5" customHeight="1" spans="1:18">
      <c r="A715" s="347" t="s">
        <v>659</v>
      </c>
      <c r="B715" s="348"/>
      <c r="C715" s="348"/>
      <c r="D715" s="349"/>
      <c r="E715" s="348"/>
      <c r="F715" s="345"/>
      <c r="G715" s="346"/>
      <c r="H715" s="348">
        <v>103.2</v>
      </c>
      <c r="I715" s="345"/>
      <c r="J715" s="349"/>
      <c r="K715" s="325"/>
      <c r="L715" s="325">
        <f t="shared" si="47"/>
        <v>103.2</v>
      </c>
      <c r="O715" s="325"/>
      <c r="P715" s="363"/>
      <c r="Q715" s="363"/>
      <c r="R715" s="364"/>
    </row>
    <row r="716" ht="16.5" hidden="1" customHeight="1" spans="1:18">
      <c r="A716" s="347" t="s">
        <v>660</v>
      </c>
      <c r="B716" s="348"/>
      <c r="C716" s="348"/>
      <c r="D716" s="349"/>
      <c r="E716" s="348"/>
      <c r="F716" s="345"/>
      <c r="G716" s="346"/>
      <c r="H716" s="348">
        <v>0</v>
      </c>
      <c r="I716" s="345"/>
      <c r="J716" s="349"/>
      <c r="K716" s="325"/>
      <c r="L716" s="325">
        <f t="shared" si="47"/>
        <v>0</v>
      </c>
      <c r="O716" s="325"/>
      <c r="P716" s="363"/>
      <c r="Q716" s="363"/>
      <c r="R716" s="364"/>
    </row>
    <row r="717" ht="16.5" customHeight="1" spans="1:18">
      <c r="A717" s="347" t="s">
        <v>661</v>
      </c>
      <c r="B717" s="348"/>
      <c r="C717" s="348"/>
      <c r="D717" s="349"/>
      <c r="E717" s="348"/>
      <c r="F717" s="345"/>
      <c r="G717" s="346"/>
      <c r="H717" s="348">
        <v>37.048032</v>
      </c>
      <c r="I717" s="345"/>
      <c r="J717" s="349"/>
      <c r="K717" s="325"/>
      <c r="L717" s="325">
        <f t="shared" si="47"/>
        <v>37.048032</v>
      </c>
      <c r="O717" s="325"/>
      <c r="P717" s="363"/>
      <c r="Q717" s="363"/>
      <c r="R717" s="364"/>
    </row>
    <row r="718" ht="16.5" hidden="1" customHeight="1" spans="1:18">
      <c r="A718" s="347" t="s">
        <v>662</v>
      </c>
      <c r="B718" s="348"/>
      <c r="C718" s="348"/>
      <c r="D718" s="349"/>
      <c r="E718" s="348"/>
      <c r="F718" s="345"/>
      <c r="G718" s="346"/>
      <c r="H718" s="348">
        <v>0</v>
      </c>
      <c r="I718" s="345"/>
      <c r="J718" s="349"/>
      <c r="K718" s="325"/>
      <c r="L718" s="325">
        <f t="shared" si="47"/>
        <v>0</v>
      </c>
      <c r="O718" s="325"/>
      <c r="P718" s="363"/>
      <c r="Q718" s="363"/>
      <c r="R718" s="364"/>
    </row>
    <row r="719" ht="16.5" hidden="1" customHeight="1" spans="1:18">
      <c r="A719" s="347" t="s">
        <v>663</v>
      </c>
      <c r="B719" s="348"/>
      <c r="C719" s="348"/>
      <c r="D719" s="349"/>
      <c r="E719" s="348"/>
      <c r="F719" s="345"/>
      <c r="G719" s="346"/>
      <c r="H719" s="348">
        <v>0</v>
      </c>
      <c r="I719" s="345"/>
      <c r="J719" s="349"/>
      <c r="K719" s="325"/>
      <c r="L719" s="325">
        <f t="shared" si="47"/>
        <v>0</v>
      </c>
      <c r="O719" s="325"/>
      <c r="P719" s="363"/>
      <c r="Q719" s="363"/>
      <c r="R719" s="364"/>
    </row>
    <row r="720" ht="16.5" hidden="1" customHeight="1" spans="1:18">
      <c r="A720" s="347" t="s">
        <v>664</v>
      </c>
      <c r="B720" s="348"/>
      <c r="C720" s="348"/>
      <c r="D720" s="349"/>
      <c r="E720" s="348"/>
      <c r="F720" s="345"/>
      <c r="G720" s="346"/>
      <c r="H720" s="348">
        <v>0</v>
      </c>
      <c r="I720" s="345"/>
      <c r="J720" s="349"/>
      <c r="K720" s="325"/>
      <c r="L720" s="325">
        <f t="shared" si="47"/>
        <v>0</v>
      </c>
      <c r="O720" s="325"/>
      <c r="P720" s="363"/>
      <c r="Q720" s="363"/>
      <c r="R720" s="364"/>
    </row>
    <row r="721" ht="16.5" hidden="1" customHeight="1" spans="1:18">
      <c r="A721" s="347" t="s">
        <v>665</v>
      </c>
      <c r="B721" s="348"/>
      <c r="C721" s="348"/>
      <c r="D721" s="349"/>
      <c r="E721" s="348"/>
      <c r="F721" s="345"/>
      <c r="G721" s="346"/>
      <c r="H721" s="348">
        <v>0</v>
      </c>
      <c r="I721" s="345"/>
      <c r="J721" s="349"/>
      <c r="K721" s="325"/>
      <c r="L721" s="325">
        <f t="shared" si="47"/>
        <v>0</v>
      </c>
      <c r="O721" s="325"/>
      <c r="P721" s="363"/>
      <c r="Q721" s="363"/>
      <c r="R721" s="364"/>
    </row>
    <row r="722" s="326" customFormat="1" ht="16.5" customHeight="1" spans="1:18">
      <c r="A722" s="347" t="s">
        <v>666</v>
      </c>
      <c r="B722" s="348"/>
      <c r="C722" s="348">
        <v>37.75</v>
      </c>
      <c r="D722" s="349"/>
      <c r="E722" s="348">
        <v>40</v>
      </c>
      <c r="F722" s="345">
        <f>C722-E722</f>
        <v>-2.25</v>
      </c>
      <c r="G722" s="346">
        <f>F722/E722*100</f>
        <v>-5.625</v>
      </c>
      <c r="H722" s="348">
        <f>SUM(H723:H728)</f>
        <v>0</v>
      </c>
      <c r="I722" s="345">
        <f>H722-B722</f>
        <v>0</v>
      </c>
      <c r="J722" s="349"/>
      <c r="K722" s="325"/>
      <c r="L722" s="325">
        <f t="shared" si="47"/>
        <v>37.75</v>
      </c>
      <c r="O722" s="325"/>
      <c r="P722" s="363"/>
      <c r="Q722" s="363"/>
      <c r="R722" s="364"/>
    </row>
    <row r="723" ht="16.5" hidden="1" customHeight="1" spans="1:18">
      <c r="A723" s="347" t="s">
        <v>667</v>
      </c>
      <c r="B723" s="348"/>
      <c r="C723" s="348"/>
      <c r="D723" s="349"/>
      <c r="E723" s="348"/>
      <c r="F723" s="345"/>
      <c r="G723" s="346"/>
      <c r="H723" s="348"/>
      <c r="I723" s="345"/>
      <c r="J723" s="349"/>
      <c r="K723" s="325"/>
      <c r="L723" s="325">
        <f t="shared" si="47"/>
        <v>0</v>
      </c>
      <c r="O723" s="325"/>
      <c r="P723" s="363"/>
      <c r="Q723" s="363"/>
      <c r="R723" s="364"/>
    </row>
    <row r="724" ht="16.5" hidden="1" customHeight="1" spans="1:18">
      <c r="A724" s="347" t="s">
        <v>668</v>
      </c>
      <c r="B724" s="348"/>
      <c r="C724" s="348"/>
      <c r="D724" s="349"/>
      <c r="E724" s="348"/>
      <c r="F724" s="345"/>
      <c r="G724" s="346"/>
      <c r="H724" s="348"/>
      <c r="I724" s="345"/>
      <c r="J724" s="349"/>
      <c r="K724" s="325"/>
      <c r="L724" s="325">
        <f t="shared" si="47"/>
        <v>0</v>
      </c>
      <c r="O724" s="325"/>
      <c r="P724" s="363"/>
      <c r="Q724" s="363"/>
      <c r="R724" s="364"/>
    </row>
    <row r="725" ht="16.5" hidden="1" customHeight="1" spans="1:18">
      <c r="A725" s="347" t="s">
        <v>669</v>
      </c>
      <c r="B725" s="348"/>
      <c r="C725" s="348"/>
      <c r="D725" s="349"/>
      <c r="E725" s="348"/>
      <c r="F725" s="345"/>
      <c r="G725" s="346"/>
      <c r="H725" s="348"/>
      <c r="I725" s="345"/>
      <c r="J725" s="349"/>
      <c r="K725" s="325"/>
      <c r="L725" s="325">
        <f t="shared" si="47"/>
        <v>0</v>
      </c>
      <c r="O725" s="325"/>
      <c r="P725" s="363"/>
      <c r="Q725" s="363"/>
      <c r="R725" s="364"/>
    </row>
    <row r="726" ht="16.5" hidden="1" customHeight="1" spans="1:18">
      <c r="A726" s="347" t="s">
        <v>670</v>
      </c>
      <c r="B726" s="348"/>
      <c r="C726" s="348"/>
      <c r="D726" s="349"/>
      <c r="E726" s="348"/>
      <c r="F726" s="345"/>
      <c r="G726" s="346"/>
      <c r="H726" s="348"/>
      <c r="I726" s="345"/>
      <c r="J726" s="349"/>
      <c r="K726" s="325"/>
      <c r="L726" s="325">
        <f t="shared" si="47"/>
        <v>0</v>
      </c>
      <c r="O726" s="325"/>
      <c r="P726" s="363"/>
      <c r="Q726" s="363"/>
      <c r="R726" s="364"/>
    </row>
    <row r="727" ht="16.5" hidden="1" customHeight="1" spans="1:18">
      <c r="A727" s="347" t="s">
        <v>671</v>
      </c>
      <c r="B727" s="348"/>
      <c r="C727" s="348"/>
      <c r="D727" s="349"/>
      <c r="E727" s="348"/>
      <c r="F727" s="345"/>
      <c r="G727" s="346"/>
      <c r="H727" s="348"/>
      <c r="I727" s="345"/>
      <c r="J727" s="349"/>
      <c r="K727" s="325"/>
      <c r="L727" s="325">
        <f t="shared" si="47"/>
        <v>0</v>
      </c>
      <c r="O727" s="325"/>
      <c r="P727" s="363"/>
      <c r="Q727" s="363"/>
      <c r="R727" s="364"/>
    </row>
    <row r="728" ht="16.5" hidden="1" customHeight="1" spans="1:18">
      <c r="A728" s="347" t="s">
        <v>672</v>
      </c>
      <c r="B728" s="348"/>
      <c r="C728" s="348"/>
      <c r="D728" s="349"/>
      <c r="E728" s="348"/>
      <c r="F728" s="345"/>
      <c r="G728" s="346"/>
      <c r="H728" s="348"/>
      <c r="I728" s="345"/>
      <c r="J728" s="349"/>
      <c r="K728" s="325"/>
      <c r="L728" s="325">
        <f t="shared" si="47"/>
        <v>0</v>
      </c>
      <c r="O728" s="325"/>
      <c r="P728" s="363"/>
      <c r="Q728" s="363"/>
      <c r="R728" s="364"/>
    </row>
    <row r="729" s="326" customFormat="1" ht="16.5" customHeight="1" spans="1:18">
      <c r="A729" s="347" t="s">
        <v>673</v>
      </c>
      <c r="B729" s="348">
        <v>33</v>
      </c>
      <c r="C729" s="348">
        <v>9.73</v>
      </c>
      <c r="D729" s="349">
        <f>C729/B729*100</f>
        <v>29.4848484848485</v>
      </c>
      <c r="E729" s="348">
        <v>55</v>
      </c>
      <c r="F729" s="345">
        <f>C729-E729</f>
        <v>-45.27</v>
      </c>
      <c r="G729" s="346">
        <f>F729/E729*100</f>
        <v>-82.3090909090909</v>
      </c>
      <c r="H729" s="348">
        <f>SUM(H730:H735)</f>
        <v>77.097785</v>
      </c>
      <c r="I729" s="345">
        <f>H729-B729</f>
        <v>44.097785</v>
      </c>
      <c r="J729" s="349">
        <f>I729/B729*100</f>
        <v>133.629651515152</v>
      </c>
      <c r="K729" s="325"/>
      <c r="L729" s="325">
        <f t="shared" si="47"/>
        <v>86.827785</v>
      </c>
      <c r="O729" s="325"/>
      <c r="P729" s="363"/>
      <c r="Q729" s="363"/>
      <c r="R729" s="364"/>
    </row>
    <row r="730" ht="16.5" customHeight="1" spans="1:18">
      <c r="A730" s="347" t="s">
        <v>674</v>
      </c>
      <c r="B730" s="348"/>
      <c r="C730" s="348"/>
      <c r="D730" s="349"/>
      <c r="E730" s="348"/>
      <c r="F730" s="345"/>
      <c r="G730" s="346"/>
      <c r="H730" s="348">
        <v>77.097785</v>
      </c>
      <c r="I730" s="345"/>
      <c r="J730" s="349"/>
      <c r="K730" s="325"/>
      <c r="L730" s="325">
        <f t="shared" si="47"/>
        <v>77.097785</v>
      </c>
      <c r="O730" s="325"/>
      <c r="P730" s="363"/>
      <c r="Q730" s="363"/>
      <c r="R730" s="364"/>
    </row>
    <row r="731" ht="16.5" hidden="1" customHeight="1" spans="1:18">
      <c r="A731" s="347" t="s">
        <v>675</v>
      </c>
      <c r="B731" s="348"/>
      <c r="C731" s="348"/>
      <c r="D731" s="349"/>
      <c r="E731" s="348"/>
      <c r="F731" s="345"/>
      <c r="G731" s="346"/>
      <c r="H731" s="348">
        <v>0</v>
      </c>
      <c r="I731" s="345"/>
      <c r="J731" s="349"/>
      <c r="K731" s="325"/>
      <c r="L731" s="325">
        <f t="shared" si="47"/>
        <v>0</v>
      </c>
      <c r="O731" s="325"/>
      <c r="P731" s="363"/>
      <c r="Q731" s="363"/>
      <c r="R731" s="364"/>
    </row>
    <row r="732" ht="16.5" hidden="1" customHeight="1" spans="1:18">
      <c r="A732" s="347" t="s">
        <v>676</v>
      </c>
      <c r="B732" s="348"/>
      <c r="C732" s="348"/>
      <c r="D732" s="349"/>
      <c r="E732" s="348"/>
      <c r="F732" s="345"/>
      <c r="G732" s="346"/>
      <c r="H732" s="348">
        <v>0</v>
      </c>
      <c r="I732" s="345"/>
      <c r="J732" s="349"/>
      <c r="K732" s="325"/>
      <c r="L732" s="325">
        <f t="shared" si="47"/>
        <v>0</v>
      </c>
      <c r="O732" s="325"/>
      <c r="P732" s="363"/>
      <c r="Q732" s="363"/>
      <c r="R732" s="364"/>
    </row>
    <row r="733" ht="16.5" hidden="1" customHeight="1" spans="1:18">
      <c r="A733" s="347" t="s">
        <v>677</v>
      </c>
      <c r="B733" s="348"/>
      <c r="C733" s="348"/>
      <c r="D733" s="349"/>
      <c r="E733" s="348"/>
      <c r="F733" s="345"/>
      <c r="G733" s="346"/>
      <c r="H733" s="348">
        <v>0</v>
      </c>
      <c r="I733" s="345"/>
      <c r="J733" s="349"/>
      <c r="K733" s="325"/>
      <c r="L733" s="325">
        <f t="shared" si="47"/>
        <v>0</v>
      </c>
      <c r="O733" s="325"/>
      <c r="P733" s="363"/>
      <c r="Q733" s="363"/>
      <c r="R733" s="364"/>
    </row>
    <row r="734" ht="16.5" hidden="1" customHeight="1" spans="1:18">
      <c r="A734" s="347" t="s">
        <v>678</v>
      </c>
      <c r="B734" s="348"/>
      <c r="C734" s="348"/>
      <c r="D734" s="349"/>
      <c r="E734" s="348"/>
      <c r="F734" s="345"/>
      <c r="G734" s="346"/>
      <c r="H734" s="348">
        <v>0</v>
      </c>
      <c r="I734" s="345"/>
      <c r="J734" s="349"/>
      <c r="K734" s="325"/>
      <c r="L734" s="325">
        <f t="shared" si="47"/>
        <v>0</v>
      </c>
      <c r="O734" s="325"/>
      <c r="P734" s="363"/>
      <c r="Q734" s="363"/>
      <c r="R734" s="364"/>
    </row>
    <row r="735" ht="16.5" hidden="1" customHeight="1" spans="1:18">
      <c r="A735" s="347" t="s">
        <v>679</v>
      </c>
      <c r="B735" s="348"/>
      <c r="C735" s="348"/>
      <c r="D735" s="349"/>
      <c r="E735" s="348"/>
      <c r="F735" s="345"/>
      <c r="G735" s="346"/>
      <c r="H735" s="348">
        <v>0</v>
      </c>
      <c r="I735" s="345"/>
      <c r="J735" s="349"/>
      <c r="K735" s="325"/>
      <c r="L735" s="325">
        <f t="shared" si="47"/>
        <v>0</v>
      </c>
      <c r="O735" s="325"/>
      <c r="P735" s="363"/>
      <c r="Q735" s="363"/>
      <c r="R735" s="364"/>
    </row>
    <row r="736" s="326" customFormat="1" ht="16.5" hidden="1" customHeight="1" spans="1:18">
      <c r="A736" s="347" t="s">
        <v>680</v>
      </c>
      <c r="B736" s="348"/>
      <c r="C736" s="348"/>
      <c r="D736" s="349"/>
      <c r="E736" s="348"/>
      <c r="F736" s="345">
        <f t="shared" ref="F736:F740" si="48">C736-E736</f>
        <v>0</v>
      </c>
      <c r="G736" s="346"/>
      <c r="H736" s="348">
        <v>0</v>
      </c>
      <c r="I736" s="345">
        <f t="shared" ref="I736:I740" si="49">H736-B736</f>
        <v>0</v>
      </c>
      <c r="J736" s="349"/>
      <c r="K736" s="325"/>
      <c r="L736" s="325">
        <f t="shared" si="47"/>
        <v>0</v>
      </c>
      <c r="O736" s="325"/>
      <c r="P736" s="363"/>
      <c r="Q736" s="363"/>
      <c r="R736" s="364"/>
    </row>
    <row r="737" s="326" customFormat="1" ht="16.5" hidden="1" customHeight="1" spans="1:18">
      <c r="A737" s="347" t="s">
        <v>681</v>
      </c>
      <c r="B737" s="348"/>
      <c r="C737" s="348"/>
      <c r="D737" s="349"/>
      <c r="E737" s="348"/>
      <c r="F737" s="345">
        <f t="shared" si="48"/>
        <v>0</v>
      </c>
      <c r="G737" s="346"/>
      <c r="H737" s="348">
        <v>0</v>
      </c>
      <c r="I737" s="345">
        <f t="shared" si="49"/>
        <v>0</v>
      </c>
      <c r="J737" s="349"/>
      <c r="K737" s="325"/>
      <c r="L737" s="325">
        <f t="shared" si="47"/>
        <v>0</v>
      </c>
      <c r="O737" s="325"/>
      <c r="P737" s="363"/>
      <c r="Q737" s="363"/>
      <c r="R737" s="364"/>
    </row>
    <row r="738" s="326" customFormat="1" ht="16.5" hidden="1" customHeight="1" spans="1:18">
      <c r="A738" s="347" t="s">
        <v>682</v>
      </c>
      <c r="B738" s="348"/>
      <c r="C738" s="348"/>
      <c r="D738" s="349"/>
      <c r="E738" s="348"/>
      <c r="F738" s="345">
        <f t="shared" si="48"/>
        <v>0</v>
      </c>
      <c r="G738" s="346"/>
      <c r="H738" s="348">
        <v>0</v>
      </c>
      <c r="I738" s="345">
        <f t="shared" si="49"/>
        <v>0</v>
      </c>
      <c r="J738" s="349"/>
      <c r="K738" s="325"/>
      <c r="L738" s="325">
        <f t="shared" si="47"/>
        <v>0</v>
      </c>
      <c r="O738" s="325"/>
      <c r="P738" s="363"/>
      <c r="Q738" s="363"/>
      <c r="R738" s="364"/>
    </row>
    <row r="739" s="326" customFormat="1" ht="16.5" customHeight="1" spans="1:18">
      <c r="A739" s="347" t="s">
        <v>683</v>
      </c>
      <c r="B739" s="348">
        <v>1686</v>
      </c>
      <c r="C739" s="348">
        <v>70</v>
      </c>
      <c r="D739" s="349">
        <f>C739/B739*100</f>
        <v>4.15183867141162</v>
      </c>
      <c r="E739" s="348">
        <v>91</v>
      </c>
      <c r="F739" s="345">
        <f t="shared" si="48"/>
        <v>-21</v>
      </c>
      <c r="G739" s="346">
        <f>F739/E739*100</f>
        <v>-23.0769230769231</v>
      </c>
      <c r="H739" s="348">
        <v>0</v>
      </c>
      <c r="I739" s="345">
        <f t="shared" si="49"/>
        <v>-1686</v>
      </c>
      <c r="J739" s="349">
        <f>I739/B739*100</f>
        <v>-100</v>
      </c>
      <c r="K739" s="325"/>
      <c r="L739" s="325">
        <f t="shared" si="47"/>
        <v>70</v>
      </c>
      <c r="O739" s="325"/>
      <c r="P739" s="363"/>
      <c r="Q739" s="363"/>
      <c r="R739" s="364"/>
    </row>
    <row r="740" s="326" customFormat="1" ht="16.5" customHeight="1" spans="1:18">
      <c r="A740" s="347" t="s">
        <v>684</v>
      </c>
      <c r="B740" s="348">
        <v>1783</v>
      </c>
      <c r="C740" s="348">
        <v>1352</v>
      </c>
      <c r="D740" s="349">
        <f>C740/B740*100</f>
        <v>75.8272574312956</v>
      </c>
      <c r="E740" s="348">
        <v>960</v>
      </c>
      <c r="F740" s="345">
        <f t="shared" si="48"/>
        <v>392</v>
      </c>
      <c r="G740" s="346">
        <f>F740/E740*100</f>
        <v>40.8333333333333</v>
      </c>
      <c r="H740" s="348">
        <f>SUM(H741:H745)</f>
        <v>999.905155</v>
      </c>
      <c r="I740" s="345">
        <f t="shared" si="49"/>
        <v>-783.094845</v>
      </c>
      <c r="J740" s="349">
        <f>I740/B740*100</f>
        <v>-43.9200698261357</v>
      </c>
      <c r="K740" s="325"/>
      <c r="L740" s="325">
        <f t="shared" si="47"/>
        <v>2351.905155</v>
      </c>
      <c r="O740" s="325"/>
      <c r="P740" s="363"/>
      <c r="Q740" s="363"/>
      <c r="R740" s="364"/>
    </row>
    <row r="741" ht="16.5" hidden="1" customHeight="1" spans="1:18">
      <c r="A741" s="347" t="s">
        <v>685</v>
      </c>
      <c r="B741" s="348"/>
      <c r="C741" s="348"/>
      <c r="D741" s="349"/>
      <c r="E741" s="348"/>
      <c r="F741" s="345"/>
      <c r="G741" s="346"/>
      <c r="H741" s="348">
        <v>0</v>
      </c>
      <c r="I741" s="345"/>
      <c r="J741" s="349"/>
      <c r="K741" s="325"/>
      <c r="L741" s="325">
        <f t="shared" si="47"/>
        <v>0</v>
      </c>
      <c r="O741" s="325"/>
      <c r="P741" s="363"/>
      <c r="Q741" s="363"/>
      <c r="R741" s="364"/>
    </row>
    <row r="742" ht="16.5" customHeight="1" spans="1:18">
      <c r="A742" s="347" t="s">
        <v>686</v>
      </c>
      <c r="B742" s="348"/>
      <c r="C742" s="348"/>
      <c r="D742" s="349"/>
      <c r="E742" s="348"/>
      <c r="F742" s="345"/>
      <c r="G742" s="346"/>
      <c r="H742" s="348">
        <v>999.905155</v>
      </c>
      <c r="I742" s="345"/>
      <c r="J742" s="349"/>
      <c r="K742" s="325"/>
      <c r="L742" s="325">
        <f t="shared" si="47"/>
        <v>999.905155</v>
      </c>
      <c r="O742" s="325"/>
      <c r="P742" s="363"/>
      <c r="Q742" s="363"/>
      <c r="R742" s="364"/>
    </row>
    <row r="743" ht="16.5" hidden="1" customHeight="1" spans="1:18">
      <c r="A743" s="347" t="s">
        <v>687</v>
      </c>
      <c r="B743" s="348"/>
      <c r="C743" s="348"/>
      <c r="D743" s="349"/>
      <c r="E743" s="348"/>
      <c r="F743" s="345"/>
      <c r="G743" s="346"/>
      <c r="H743" s="348">
        <v>0</v>
      </c>
      <c r="I743" s="345"/>
      <c r="J743" s="349"/>
      <c r="K743" s="325"/>
      <c r="L743" s="325">
        <f t="shared" si="47"/>
        <v>0</v>
      </c>
      <c r="O743" s="325"/>
      <c r="P743" s="363"/>
      <c r="Q743" s="363"/>
      <c r="R743" s="364"/>
    </row>
    <row r="744" ht="16.5" hidden="1" customHeight="1" spans="1:18">
      <c r="A744" s="347" t="s">
        <v>688</v>
      </c>
      <c r="B744" s="348"/>
      <c r="C744" s="348"/>
      <c r="D744" s="349"/>
      <c r="E744" s="348"/>
      <c r="F744" s="345"/>
      <c r="G744" s="346"/>
      <c r="H744" s="348">
        <v>0</v>
      </c>
      <c r="I744" s="345"/>
      <c r="J744" s="349"/>
      <c r="K744" s="325"/>
      <c r="L744" s="325">
        <f t="shared" si="47"/>
        <v>0</v>
      </c>
      <c r="O744" s="325"/>
      <c r="P744" s="363"/>
      <c r="Q744" s="363"/>
      <c r="R744" s="364"/>
    </row>
    <row r="745" ht="16.5" hidden="1" customHeight="1" spans="1:18">
      <c r="A745" s="347" t="s">
        <v>689</v>
      </c>
      <c r="B745" s="348"/>
      <c r="C745" s="348"/>
      <c r="D745" s="349"/>
      <c r="E745" s="348"/>
      <c r="F745" s="345"/>
      <c r="G745" s="346"/>
      <c r="H745" s="348">
        <v>0</v>
      </c>
      <c r="I745" s="345"/>
      <c r="J745" s="349"/>
      <c r="K745" s="325"/>
      <c r="L745" s="325">
        <f t="shared" si="47"/>
        <v>0</v>
      </c>
      <c r="O745" s="325"/>
      <c r="P745" s="363"/>
      <c r="Q745" s="363"/>
      <c r="R745" s="364"/>
    </row>
    <row r="746" s="326" customFormat="1" ht="16.5" hidden="1" customHeight="1" spans="1:18">
      <c r="A746" s="347" t="s">
        <v>690</v>
      </c>
      <c r="B746" s="348"/>
      <c r="C746" s="348"/>
      <c r="D746" s="349"/>
      <c r="E746" s="348"/>
      <c r="F746" s="345"/>
      <c r="G746" s="346"/>
      <c r="H746" s="348">
        <v>0</v>
      </c>
      <c r="I746" s="345"/>
      <c r="J746" s="349"/>
      <c r="K746" s="325"/>
      <c r="L746" s="325">
        <f t="shared" si="47"/>
        <v>0</v>
      </c>
      <c r="O746" s="325"/>
      <c r="P746" s="363"/>
      <c r="Q746" s="363"/>
      <c r="R746" s="364"/>
    </row>
    <row r="747" s="326" customFormat="1" ht="16.5" hidden="1" customHeight="1" spans="1:18">
      <c r="A747" s="347" t="s">
        <v>691</v>
      </c>
      <c r="B747" s="348"/>
      <c r="C747" s="348"/>
      <c r="D747" s="349"/>
      <c r="E747" s="348"/>
      <c r="F747" s="345"/>
      <c r="G747" s="346"/>
      <c r="H747" s="348">
        <v>0</v>
      </c>
      <c r="I747" s="345"/>
      <c r="J747" s="349"/>
      <c r="K747" s="325"/>
      <c r="L747" s="325">
        <f t="shared" si="47"/>
        <v>0</v>
      </c>
      <c r="O747" s="325"/>
      <c r="P747" s="363"/>
      <c r="Q747" s="363"/>
      <c r="R747" s="364"/>
    </row>
    <row r="748" s="326" customFormat="1" ht="16.5" hidden="1" customHeight="1" spans="1:18">
      <c r="A748" s="347" t="s">
        <v>692</v>
      </c>
      <c r="B748" s="348"/>
      <c r="C748" s="348"/>
      <c r="D748" s="349"/>
      <c r="E748" s="348"/>
      <c r="F748" s="345"/>
      <c r="G748" s="346"/>
      <c r="H748" s="348"/>
      <c r="I748" s="345"/>
      <c r="J748" s="349"/>
      <c r="K748" s="325"/>
      <c r="L748" s="325">
        <f t="shared" si="47"/>
        <v>0</v>
      </c>
      <c r="O748" s="325"/>
      <c r="P748" s="363"/>
      <c r="Q748" s="363"/>
      <c r="R748" s="364"/>
    </row>
    <row r="749" ht="16.5" hidden="1" customHeight="1" spans="1:18">
      <c r="A749" s="347" t="s">
        <v>155</v>
      </c>
      <c r="B749" s="348"/>
      <c r="C749" s="348"/>
      <c r="D749" s="349"/>
      <c r="E749" s="348"/>
      <c r="F749" s="345"/>
      <c r="G749" s="346"/>
      <c r="H749" s="348"/>
      <c r="I749" s="345"/>
      <c r="J749" s="349"/>
      <c r="K749" s="325"/>
      <c r="L749" s="325">
        <f t="shared" si="47"/>
        <v>0</v>
      </c>
      <c r="O749" s="325"/>
      <c r="P749" s="363"/>
      <c r="Q749" s="363"/>
      <c r="R749" s="364"/>
    </row>
    <row r="750" ht="16.5" hidden="1" customHeight="1" spans="1:18">
      <c r="A750" s="347" t="s">
        <v>156</v>
      </c>
      <c r="B750" s="348"/>
      <c r="C750" s="348"/>
      <c r="D750" s="349"/>
      <c r="E750" s="348"/>
      <c r="F750" s="345"/>
      <c r="G750" s="346"/>
      <c r="H750" s="348"/>
      <c r="I750" s="345"/>
      <c r="J750" s="349"/>
      <c r="K750" s="325"/>
      <c r="L750" s="325">
        <f t="shared" si="47"/>
        <v>0</v>
      </c>
      <c r="O750" s="325"/>
      <c r="P750" s="363"/>
      <c r="Q750" s="363"/>
      <c r="R750" s="364"/>
    </row>
    <row r="751" ht="16.5" hidden="1" customHeight="1" spans="1:18">
      <c r="A751" s="347" t="s">
        <v>157</v>
      </c>
      <c r="B751" s="348"/>
      <c r="C751" s="348"/>
      <c r="D751" s="349"/>
      <c r="E751" s="348"/>
      <c r="F751" s="345"/>
      <c r="G751" s="346"/>
      <c r="H751" s="348"/>
      <c r="I751" s="345"/>
      <c r="J751" s="349"/>
      <c r="K751" s="325"/>
      <c r="L751" s="325">
        <f t="shared" si="47"/>
        <v>0</v>
      </c>
      <c r="O751" s="325"/>
      <c r="P751" s="363"/>
      <c r="Q751" s="363"/>
      <c r="R751" s="364"/>
    </row>
    <row r="752" ht="16.5" hidden="1" customHeight="1" spans="1:18">
      <c r="A752" s="347" t="s">
        <v>693</v>
      </c>
      <c r="B752" s="348"/>
      <c r="C752" s="348"/>
      <c r="D752" s="349"/>
      <c r="E752" s="348"/>
      <c r="F752" s="345"/>
      <c r="G752" s="346"/>
      <c r="H752" s="348"/>
      <c r="I752" s="345"/>
      <c r="J752" s="349"/>
      <c r="K752" s="325"/>
      <c r="L752" s="325">
        <f t="shared" si="47"/>
        <v>0</v>
      </c>
      <c r="O752" s="325"/>
      <c r="P752" s="363"/>
      <c r="Q752" s="363"/>
      <c r="R752" s="364"/>
    </row>
    <row r="753" ht="16.5" hidden="1" customHeight="1" spans="1:18">
      <c r="A753" s="347" t="s">
        <v>694</v>
      </c>
      <c r="B753" s="348"/>
      <c r="C753" s="348"/>
      <c r="D753" s="349"/>
      <c r="E753" s="348"/>
      <c r="F753" s="345"/>
      <c r="G753" s="346"/>
      <c r="H753" s="348"/>
      <c r="I753" s="345"/>
      <c r="J753" s="349"/>
      <c r="K753" s="325"/>
      <c r="L753" s="325">
        <f t="shared" si="47"/>
        <v>0</v>
      </c>
      <c r="O753" s="325"/>
      <c r="P753" s="363"/>
      <c r="Q753" s="363"/>
      <c r="R753" s="364"/>
    </row>
    <row r="754" ht="16.5" hidden="1" customHeight="1" spans="1:18">
      <c r="A754" s="347" t="s">
        <v>695</v>
      </c>
      <c r="B754" s="348"/>
      <c r="C754" s="348"/>
      <c r="D754" s="349"/>
      <c r="E754" s="348"/>
      <c r="F754" s="345"/>
      <c r="G754" s="346"/>
      <c r="H754" s="348"/>
      <c r="I754" s="345"/>
      <c r="J754" s="349"/>
      <c r="K754" s="325"/>
      <c r="L754" s="325">
        <f t="shared" si="47"/>
        <v>0</v>
      </c>
      <c r="O754" s="325"/>
      <c r="P754" s="363"/>
      <c r="Q754" s="363"/>
      <c r="R754" s="364"/>
    </row>
    <row r="755" ht="16.5" hidden="1" customHeight="1" spans="1:18">
      <c r="A755" s="347" t="s">
        <v>195</v>
      </c>
      <c r="B755" s="348"/>
      <c r="C755" s="348"/>
      <c r="D755" s="349"/>
      <c r="E755" s="348"/>
      <c r="F755" s="345"/>
      <c r="G755" s="346"/>
      <c r="H755" s="348"/>
      <c r="I755" s="345"/>
      <c r="J755" s="349"/>
      <c r="K755" s="325"/>
      <c r="L755" s="325">
        <f t="shared" si="47"/>
        <v>0</v>
      </c>
      <c r="O755" s="325"/>
      <c r="P755" s="363"/>
      <c r="Q755" s="363"/>
      <c r="R755" s="364"/>
    </row>
    <row r="756" ht="16.5" hidden="1" customHeight="1" spans="1:18">
      <c r="A756" s="347" t="s">
        <v>696</v>
      </c>
      <c r="B756" s="348"/>
      <c r="C756" s="348"/>
      <c r="D756" s="349"/>
      <c r="E756" s="348"/>
      <c r="F756" s="345"/>
      <c r="G756" s="346"/>
      <c r="H756" s="348"/>
      <c r="I756" s="345"/>
      <c r="J756" s="349"/>
      <c r="K756" s="325"/>
      <c r="L756" s="325">
        <f t="shared" si="47"/>
        <v>0</v>
      </c>
      <c r="O756" s="325"/>
      <c r="P756" s="363"/>
      <c r="Q756" s="363"/>
      <c r="R756" s="364"/>
    </row>
    <row r="757" ht="16.5" hidden="1" customHeight="1" spans="1:18">
      <c r="A757" s="347" t="s">
        <v>164</v>
      </c>
      <c r="B757" s="348"/>
      <c r="C757" s="348"/>
      <c r="D757" s="349"/>
      <c r="E757" s="348"/>
      <c r="F757" s="345"/>
      <c r="G757" s="346"/>
      <c r="H757" s="348"/>
      <c r="I757" s="345"/>
      <c r="J757" s="349"/>
      <c r="K757" s="325"/>
      <c r="L757" s="325">
        <f t="shared" si="47"/>
        <v>0</v>
      </c>
      <c r="O757" s="325"/>
      <c r="P757" s="363"/>
      <c r="Q757" s="363"/>
      <c r="R757" s="364"/>
    </row>
    <row r="758" ht="16.5" hidden="1" customHeight="1" spans="1:18">
      <c r="A758" s="347" t="s">
        <v>697</v>
      </c>
      <c r="B758" s="348"/>
      <c r="C758" s="348"/>
      <c r="D758" s="349"/>
      <c r="E758" s="348"/>
      <c r="F758" s="345"/>
      <c r="G758" s="346"/>
      <c r="H758" s="348"/>
      <c r="I758" s="345"/>
      <c r="J758" s="349"/>
      <c r="K758" s="325"/>
      <c r="L758" s="325">
        <f t="shared" si="47"/>
        <v>0</v>
      </c>
      <c r="O758" s="325"/>
      <c r="P758" s="363"/>
      <c r="Q758" s="363"/>
      <c r="R758" s="364"/>
    </row>
    <row r="759" s="326" customFormat="1" ht="16.5" customHeight="1" spans="1:18">
      <c r="A759" s="347" t="s">
        <v>698</v>
      </c>
      <c r="B759" s="348"/>
      <c r="C759" s="348">
        <v>109</v>
      </c>
      <c r="D759" s="349"/>
      <c r="E759" s="348">
        <v>41</v>
      </c>
      <c r="F759" s="345">
        <f t="shared" ref="F759:F761" si="50">C759-E759</f>
        <v>68</v>
      </c>
      <c r="G759" s="346">
        <f t="shared" ref="G759:G761" si="51">F759/E759*100</f>
        <v>165.853658536585</v>
      </c>
      <c r="H759" s="348">
        <v>5911.72</v>
      </c>
      <c r="I759" s="345">
        <f t="shared" ref="I759:I761" si="52">H759-B759</f>
        <v>5911.72</v>
      </c>
      <c r="J759" s="349"/>
      <c r="K759" s="325"/>
      <c r="L759" s="325">
        <f t="shared" si="47"/>
        <v>6020.72</v>
      </c>
      <c r="O759" s="325"/>
      <c r="P759" s="363"/>
      <c r="Q759" s="363"/>
      <c r="R759" s="364"/>
    </row>
    <row r="760" s="325" customFormat="1" ht="16.5" customHeight="1" spans="1:18">
      <c r="A760" s="344" t="s">
        <v>699</v>
      </c>
      <c r="B760" s="345">
        <f>B761+B772+B773+B776+B777+B778</f>
        <v>83184</v>
      </c>
      <c r="C760" s="345">
        <f>C761+C772+C773+C776+C777+C778</f>
        <v>74662</v>
      </c>
      <c r="D760" s="349">
        <f t="shared" ref="D759:D761" si="53">C760/B760*100</f>
        <v>89.7552413925755</v>
      </c>
      <c r="E760" s="345">
        <f>E761+E772+E773+E776+E777+E778</f>
        <v>100891</v>
      </c>
      <c r="F760" s="345">
        <f t="shared" si="50"/>
        <v>-26229</v>
      </c>
      <c r="G760" s="346">
        <f t="shared" si="51"/>
        <v>-25.9973634912926</v>
      </c>
      <c r="H760" s="345">
        <f>H761+H772+H773+H776+H777+H778</f>
        <v>25994.805546</v>
      </c>
      <c r="I760" s="345">
        <f t="shared" si="52"/>
        <v>-57189.194454</v>
      </c>
      <c r="J760" s="349">
        <f t="shared" ref="J759:J761" si="54">I760/B760*100</f>
        <v>-68.7502337637046</v>
      </c>
      <c r="L760" s="325">
        <f t="shared" si="47"/>
        <v>100656.805546</v>
      </c>
      <c r="P760" s="362"/>
      <c r="Q760" s="362"/>
      <c r="R760" s="364"/>
    </row>
    <row r="761" s="326" customFormat="1" ht="16.5" customHeight="1" spans="1:18">
      <c r="A761" s="347" t="s">
        <v>700</v>
      </c>
      <c r="B761" s="348">
        <v>6159</v>
      </c>
      <c r="C761" s="348">
        <v>7300</v>
      </c>
      <c r="D761" s="349">
        <f t="shared" si="53"/>
        <v>118.525734697191</v>
      </c>
      <c r="E761" s="348">
        <v>12352</v>
      </c>
      <c r="F761" s="345">
        <f t="shared" si="50"/>
        <v>-5052</v>
      </c>
      <c r="G761" s="346">
        <f t="shared" si="51"/>
        <v>-40.9002590673575</v>
      </c>
      <c r="H761" s="348">
        <f>SUM(H762:H771)</f>
        <v>5437.463502</v>
      </c>
      <c r="I761" s="345">
        <f t="shared" si="52"/>
        <v>-721.536498</v>
      </c>
      <c r="J761" s="349">
        <f t="shared" si="54"/>
        <v>-11.7151566488066</v>
      </c>
      <c r="K761" s="325"/>
      <c r="L761" s="325">
        <f t="shared" si="47"/>
        <v>12737.463502</v>
      </c>
      <c r="O761" s="325"/>
      <c r="P761" s="363"/>
      <c r="Q761" s="363"/>
      <c r="R761" s="364"/>
    </row>
    <row r="762" ht="16.5" customHeight="1" spans="1:18">
      <c r="A762" s="347" t="s">
        <v>155</v>
      </c>
      <c r="B762" s="348"/>
      <c r="C762" s="348"/>
      <c r="D762" s="349"/>
      <c r="E762" s="348"/>
      <c r="F762" s="345"/>
      <c r="G762" s="346"/>
      <c r="H762" s="348">
        <v>2913.581348</v>
      </c>
      <c r="I762" s="345"/>
      <c r="J762" s="349"/>
      <c r="K762" s="325"/>
      <c r="L762" s="325">
        <f t="shared" si="47"/>
        <v>2913.581348</v>
      </c>
      <c r="O762" s="325"/>
      <c r="P762" s="363"/>
      <c r="Q762" s="363"/>
      <c r="R762" s="364"/>
    </row>
    <row r="763" ht="16.5" customHeight="1" spans="1:18">
      <c r="A763" s="347" t="s">
        <v>156</v>
      </c>
      <c r="B763" s="348"/>
      <c r="C763" s="348"/>
      <c r="D763" s="349"/>
      <c r="E763" s="348"/>
      <c r="F763" s="345"/>
      <c r="G763" s="346"/>
      <c r="H763" s="348">
        <v>238.17</v>
      </c>
      <c r="I763" s="345"/>
      <c r="J763" s="349"/>
      <c r="K763" s="325"/>
      <c r="L763" s="325">
        <f t="shared" si="47"/>
        <v>238.17</v>
      </c>
      <c r="O763" s="325"/>
      <c r="P763" s="363"/>
      <c r="Q763" s="363"/>
      <c r="R763" s="364"/>
    </row>
    <row r="764" ht="16.5" hidden="1" customHeight="1" spans="1:18">
      <c r="A764" s="347" t="s">
        <v>157</v>
      </c>
      <c r="B764" s="348"/>
      <c r="C764" s="348"/>
      <c r="D764" s="349"/>
      <c r="E764" s="348"/>
      <c r="F764" s="345"/>
      <c r="G764" s="346"/>
      <c r="H764" s="348">
        <v>0</v>
      </c>
      <c r="I764" s="345"/>
      <c r="J764" s="349"/>
      <c r="K764" s="325"/>
      <c r="L764" s="325">
        <f t="shared" si="47"/>
        <v>0</v>
      </c>
      <c r="O764" s="325"/>
      <c r="P764" s="363"/>
      <c r="Q764" s="363"/>
      <c r="R764" s="364"/>
    </row>
    <row r="765" ht="16.5" customHeight="1" spans="1:18">
      <c r="A765" s="347" t="s">
        <v>701</v>
      </c>
      <c r="B765" s="348"/>
      <c r="C765" s="348"/>
      <c r="D765" s="349"/>
      <c r="E765" s="348"/>
      <c r="F765" s="345"/>
      <c r="G765" s="346"/>
      <c r="H765" s="348">
        <v>45</v>
      </c>
      <c r="I765" s="345"/>
      <c r="J765" s="349"/>
      <c r="K765" s="325"/>
      <c r="L765" s="325">
        <f t="shared" si="47"/>
        <v>45</v>
      </c>
      <c r="O765" s="325"/>
      <c r="P765" s="363"/>
      <c r="Q765" s="363"/>
      <c r="R765" s="364"/>
    </row>
    <row r="766" ht="16.5" hidden="1" customHeight="1" spans="1:18">
      <c r="A766" s="347" t="s">
        <v>702</v>
      </c>
      <c r="B766" s="348"/>
      <c r="C766" s="348"/>
      <c r="D766" s="349"/>
      <c r="E766" s="348"/>
      <c r="F766" s="345"/>
      <c r="G766" s="346"/>
      <c r="H766" s="348">
        <v>0</v>
      </c>
      <c r="I766" s="345"/>
      <c r="J766" s="349"/>
      <c r="K766" s="325"/>
      <c r="L766" s="325">
        <f t="shared" si="47"/>
        <v>0</v>
      </c>
      <c r="O766" s="325"/>
      <c r="P766" s="363"/>
      <c r="Q766" s="363"/>
      <c r="R766" s="364"/>
    </row>
    <row r="767" ht="16.5" hidden="1" customHeight="1" spans="1:18">
      <c r="A767" s="347" t="s">
        <v>703</v>
      </c>
      <c r="B767" s="348"/>
      <c r="C767" s="348"/>
      <c r="D767" s="349"/>
      <c r="E767" s="348"/>
      <c r="F767" s="345"/>
      <c r="G767" s="346"/>
      <c r="H767" s="348">
        <v>0</v>
      </c>
      <c r="I767" s="345"/>
      <c r="J767" s="349"/>
      <c r="K767" s="325"/>
      <c r="L767" s="325">
        <f t="shared" si="47"/>
        <v>0</v>
      </c>
      <c r="O767" s="325"/>
      <c r="P767" s="363"/>
      <c r="Q767" s="363"/>
      <c r="R767" s="364"/>
    </row>
    <row r="768" ht="16.5" customHeight="1" spans="1:18">
      <c r="A768" s="347" t="s">
        <v>704</v>
      </c>
      <c r="B768" s="348"/>
      <c r="C768" s="348"/>
      <c r="D768" s="349"/>
      <c r="E768" s="348"/>
      <c r="F768" s="345"/>
      <c r="G768" s="346"/>
      <c r="H768" s="348">
        <v>47.009948</v>
      </c>
      <c r="I768" s="345"/>
      <c r="J768" s="349"/>
      <c r="K768" s="325"/>
      <c r="L768" s="325">
        <f t="shared" si="47"/>
        <v>47.009948</v>
      </c>
      <c r="O768" s="325"/>
      <c r="P768" s="363"/>
      <c r="Q768" s="363"/>
      <c r="R768" s="364"/>
    </row>
    <row r="769" ht="16.5" hidden="1" customHeight="1" spans="1:18">
      <c r="A769" s="347" t="s">
        <v>705</v>
      </c>
      <c r="B769" s="348"/>
      <c r="C769" s="348"/>
      <c r="D769" s="349"/>
      <c r="E769" s="348"/>
      <c r="F769" s="345"/>
      <c r="G769" s="346"/>
      <c r="H769" s="348">
        <v>0</v>
      </c>
      <c r="I769" s="345"/>
      <c r="J769" s="349"/>
      <c r="K769" s="325"/>
      <c r="L769" s="325">
        <f t="shared" si="47"/>
        <v>0</v>
      </c>
      <c r="O769" s="325"/>
      <c r="P769" s="363"/>
      <c r="Q769" s="363"/>
      <c r="R769" s="364"/>
    </row>
    <row r="770" ht="16.5" hidden="1" customHeight="1" spans="1:18">
      <c r="A770" s="347" t="s">
        <v>706</v>
      </c>
      <c r="B770" s="348"/>
      <c r="C770" s="348"/>
      <c r="D770" s="349"/>
      <c r="E770" s="348"/>
      <c r="F770" s="345"/>
      <c r="G770" s="346"/>
      <c r="H770" s="348">
        <v>0</v>
      </c>
      <c r="I770" s="345"/>
      <c r="J770" s="349"/>
      <c r="K770" s="325"/>
      <c r="L770" s="325">
        <f t="shared" si="47"/>
        <v>0</v>
      </c>
      <c r="O770" s="325"/>
      <c r="P770" s="363"/>
      <c r="Q770" s="363"/>
      <c r="R770" s="364"/>
    </row>
    <row r="771" ht="16.5" customHeight="1" spans="1:18">
      <c r="A771" s="347" t="s">
        <v>707</v>
      </c>
      <c r="B771" s="348"/>
      <c r="C771" s="348"/>
      <c r="D771" s="349"/>
      <c r="E771" s="348"/>
      <c r="F771" s="345"/>
      <c r="G771" s="346"/>
      <c r="H771" s="348">
        <v>2193.702206</v>
      </c>
      <c r="I771" s="345"/>
      <c r="J771" s="349"/>
      <c r="K771" s="325"/>
      <c r="L771" s="325">
        <f t="shared" si="47"/>
        <v>2193.702206</v>
      </c>
      <c r="O771" s="325"/>
      <c r="P771" s="363"/>
      <c r="Q771" s="363"/>
      <c r="R771" s="364"/>
    </row>
    <row r="772" s="326" customFormat="1" ht="16.5" hidden="1" customHeight="1" spans="1:18">
      <c r="A772" s="347" t="s">
        <v>708</v>
      </c>
      <c r="B772" s="348"/>
      <c r="C772" s="348"/>
      <c r="D772" s="349"/>
      <c r="E772" s="348"/>
      <c r="F772" s="345"/>
      <c r="G772" s="346"/>
      <c r="H772" s="348">
        <v>0</v>
      </c>
      <c r="I772" s="345">
        <f t="shared" ref="I772:I780" si="55">H772-B772</f>
        <v>0</v>
      </c>
      <c r="J772" s="349"/>
      <c r="K772" s="325"/>
      <c r="L772" s="325">
        <f t="shared" si="47"/>
        <v>0</v>
      </c>
      <c r="O772" s="325"/>
      <c r="P772" s="363"/>
      <c r="Q772" s="363"/>
      <c r="R772" s="364"/>
    </row>
    <row r="773" s="326" customFormat="1" ht="16.5" customHeight="1" spans="1:18">
      <c r="A773" s="347" t="s">
        <v>709</v>
      </c>
      <c r="B773" s="348">
        <v>4768</v>
      </c>
      <c r="C773" s="348">
        <v>5863</v>
      </c>
      <c r="D773" s="349">
        <f t="shared" ref="D772:D776" si="56">C773/B773*100</f>
        <v>122.965604026846</v>
      </c>
      <c r="E773" s="348">
        <v>68345</v>
      </c>
      <c r="F773" s="345">
        <f t="shared" ref="F772:F780" si="57">C773-E773</f>
        <v>-62482</v>
      </c>
      <c r="G773" s="346">
        <f t="shared" ref="G772:G780" si="58">F773/E773*100</f>
        <v>-91.4214646279903</v>
      </c>
      <c r="H773" s="348">
        <f>SUM(H774:H775)</f>
        <v>6436.117688</v>
      </c>
      <c r="I773" s="345">
        <f t="shared" si="55"/>
        <v>1668.117688</v>
      </c>
      <c r="J773" s="349">
        <f t="shared" ref="J772:J776" si="59">I773/B773*100</f>
        <v>34.9856897651007</v>
      </c>
      <c r="K773" s="325"/>
      <c r="L773" s="325">
        <f t="shared" si="47"/>
        <v>12299.117688</v>
      </c>
      <c r="O773" s="325"/>
      <c r="P773" s="363"/>
      <c r="Q773" s="363"/>
      <c r="R773" s="364"/>
    </row>
    <row r="774" ht="16.5" hidden="1" customHeight="1" spans="1:18">
      <c r="A774" s="347" t="s">
        <v>710</v>
      </c>
      <c r="B774" s="348"/>
      <c r="C774" s="348"/>
      <c r="D774" s="349"/>
      <c r="E774" s="348"/>
      <c r="F774" s="345"/>
      <c r="G774" s="346"/>
      <c r="H774" s="348">
        <v>0</v>
      </c>
      <c r="I774" s="345"/>
      <c r="J774" s="349"/>
      <c r="K774" s="325"/>
      <c r="L774" s="325">
        <f t="shared" si="47"/>
        <v>0</v>
      </c>
      <c r="O774" s="325"/>
      <c r="P774" s="363"/>
      <c r="Q774" s="363"/>
      <c r="R774" s="364"/>
    </row>
    <row r="775" ht="16.5" customHeight="1" spans="1:18">
      <c r="A775" s="347" t="s">
        <v>711</v>
      </c>
      <c r="B775" s="348"/>
      <c r="C775" s="348"/>
      <c r="D775" s="349"/>
      <c r="E775" s="348"/>
      <c r="F775" s="345"/>
      <c r="G775" s="346"/>
      <c r="H775" s="348">
        <v>6436.117688</v>
      </c>
      <c r="I775" s="345"/>
      <c r="J775" s="349"/>
      <c r="K775" s="325"/>
      <c r="L775" s="325">
        <f t="shared" si="47"/>
        <v>6436.117688</v>
      </c>
      <c r="O775" s="325"/>
      <c r="P775" s="363"/>
      <c r="Q775" s="363"/>
      <c r="R775" s="364"/>
    </row>
    <row r="776" s="326" customFormat="1" ht="16.5" customHeight="1" spans="1:18">
      <c r="A776" s="347" t="s">
        <v>712</v>
      </c>
      <c r="B776" s="348">
        <v>9026</v>
      </c>
      <c r="C776" s="348">
        <v>10604</v>
      </c>
      <c r="D776" s="349">
        <f t="shared" si="56"/>
        <v>117.482827387547</v>
      </c>
      <c r="E776" s="348">
        <v>19208</v>
      </c>
      <c r="F776" s="345">
        <f t="shared" si="57"/>
        <v>-8604</v>
      </c>
      <c r="G776" s="346">
        <f t="shared" si="58"/>
        <v>-44.7938359017076</v>
      </c>
      <c r="H776" s="348">
        <v>12147.524356</v>
      </c>
      <c r="I776" s="345">
        <f t="shared" si="55"/>
        <v>3121.524356</v>
      </c>
      <c r="J776" s="349">
        <f t="shared" si="59"/>
        <v>34.5836955018834</v>
      </c>
      <c r="K776" s="325"/>
      <c r="L776" s="325">
        <f t="shared" ref="L776:L839" si="60">C776+H776</f>
        <v>22751.524356</v>
      </c>
      <c r="O776" s="325"/>
      <c r="P776" s="363"/>
      <c r="Q776" s="363"/>
      <c r="R776" s="364"/>
    </row>
    <row r="777" s="326" customFormat="1" ht="16.5" hidden="1" customHeight="1" spans="1:18">
      <c r="A777" s="347" t="s">
        <v>713</v>
      </c>
      <c r="B777" s="348"/>
      <c r="C777" s="348"/>
      <c r="D777" s="349"/>
      <c r="E777" s="348"/>
      <c r="F777" s="345">
        <f t="shared" si="57"/>
        <v>0</v>
      </c>
      <c r="G777" s="346"/>
      <c r="H777" s="348">
        <v>0</v>
      </c>
      <c r="I777" s="345">
        <f t="shared" si="55"/>
        <v>0</v>
      </c>
      <c r="J777" s="349"/>
      <c r="K777" s="325"/>
      <c r="L777" s="325">
        <f t="shared" si="60"/>
        <v>0</v>
      </c>
      <c r="O777" s="325"/>
      <c r="P777" s="363"/>
      <c r="Q777" s="363"/>
      <c r="R777" s="364"/>
    </row>
    <row r="778" s="326" customFormat="1" ht="16.5" customHeight="1" spans="1:18">
      <c r="A778" s="347" t="s">
        <v>714</v>
      </c>
      <c r="B778" s="348">
        <v>63231</v>
      </c>
      <c r="C778" s="348">
        <v>50895</v>
      </c>
      <c r="D778" s="349">
        <f t="shared" ref="D778:D780" si="61">C778/B778*100</f>
        <v>80.49058215116</v>
      </c>
      <c r="E778" s="348">
        <v>986</v>
      </c>
      <c r="F778" s="345">
        <f t="shared" si="57"/>
        <v>49909</v>
      </c>
      <c r="G778" s="346">
        <f t="shared" si="58"/>
        <v>5061.76470588235</v>
      </c>
      <c r="H778" s="348">
        <v>1973.7</v>
      </c>
      <c r="I778" s="345">
        <f t="shared" si="55"/>
        <v>-61257.3</v>
      </c>
      <c r="J778" s="349">
        <f t="shared" ref="J778:J780" si="62">I778/B778*100</f>
        <v>-96.8785880343502</v>
      </c>
      <c r="K778" s="325"/>
      <c r="L778" s="325">
        <f t="shared" si="60"/>
        <v>52868.7</v>
      </c>
      <c r="O778" s="325"/>
      <c r="P778" s="363"/>
      <c r="Q778" s="363"/>
      <c r="R778" s="364"/>
    </row>
    <row r="779" s="325" customFormat="1" ht="16.5" customHeight="1" spans="1:18">
      <c r="A779" s="344" t="s">
        <v>715</v>
      </c>
      <c r="B779" s="345">
        <f>B780+B806+B829+B854+B860+B866+B872+B875</f>
        <v>25172</v>
      </c>
      <c r="C779" s="345">
        <f>C780+C806+C829+C854+C860+C866+C872+C875</f>
        <v>24983</v>
      </c>
      <c r="D779" s="349">
        <f t="shared" si="61"/>
        <v>99.2491657397108</v>
      </c>
      <c r="E779" s="345">
        <f>E780+E806+E829+E854+E860+E866+E872+E875</f>
        <v>148880</v>
      </c>
      <c r="F779" s="345">
        <f t="shared" si="57"/>
        <v>-123897</v>
      </c>
      <c r="G779" s="346">
        <f t="shared" si="58"/>
        <v>-83.2193713057496</v>
      </c>
      <c r="H779" s="345">
        <f>H780+H806+H829+H854+H860+H866+H872+H875</f>
        <v>37271.285447</v>
      </c>
      <c r="I779" s="345">
        <f t="shared" si="55"/>
        <v>12099.285447</v>
      </c>
      <c r="J779" s="349">
        <f t="shared" si="62"/>
        <v>48.0664446488162</v>
      </c>
      <c r="L779" s="325">
        <f t="shared" si="60"/>
        <v>62254.285447</v>
      </c>
      <c r="P779" s="362"/>
      <c r="Q779" s="362"/>
      <c r="R779" s="364"/>
    </row>
    <row r="780" s="326" customFormat="1" ht="16.5" customHeight="1" spans="1:18">
      <c r="A780" s="347" t="s">
        <v>716</v>
      </c>
      <c r="B780" s="348">
        <v>7819</v>
      </c>
      <c r="C780" s="348">
        <v>10385</v>
      </c>
      <c r="D780" s="349">
        <f t="shared" si="61"/>
        <v>132.817495843458</v>
      </c>
      <c r="E780" s="348">
        <v>9895</v>
      </c>
      <c r="F780" s="345">
        <f t="shared" si="57"/>
        <v>490</v>
      </c>
      <c r="G780" s="346">
        <f t="shared" si="58"/>
        <v>4.95199595755432</v>
      </c>
      <c r="H780" s="348">
        <f>SUM(H781:H805)</f>
        <v>7872.768791</v>
      </c>
      <c r="I780" s="345">
        <f t="shared" si="55"/>
        <v>53.7687909999995</v>
      </c>
      <c r="J780" s="349">
        <f t="shared" si="62"/>
        <v>0.68766838470392</v>
      </c>
      <c r="K780" s="325"/>
      <c r="L780" s="325">
        <f t="shared" si="60"/>
        <v>18257.768791</v>
      </c>
      <c r="O780" s="325"/>
      <c r="P780" s="363"/>
      <c r="Q780" s="363"/>
      <c r="R780" s="364"/>
    </row>
    <row r="781" ht="16.5" customHeight="1" spans="1:18">
      <c r="A781" s="347" t="s">
        <v>155</v>
      </c>
      <c r="B781" s="348"/>
      <c r="C781" s="348"/>
      <c r="D781" s="349"/>
      <c r="E781" s="348"/>
      <c r="F781" s="345"/>
      <c r="G781" s="346"/>
      <c r="H781" s="348">
        <v>1590.174349</v>
      </c>
      <c r="I781" s="345"/>
      <c r="J781" s="349"/>
      <c r="K781" s="325"/>
      <c r="L781" s="325">
        <f t="shared" si="60"/>
        <v>1590.174349</v>
      </c>
      <c r="O781" s="325"/>
      <c r="P781" s="363"/>
      <c r="Q781" s="363"/>
      <c r="R781" s="364"/>
    </row>
    <row r="782" ht="16.5" hidden="1" customHeight="1" spans="1:18">
      <c r="A782" s="347" t="s">
        <v>156</v>
      </c>
      <c r="B782" s="348"/>
      <c r="C782" s="348"/>
      <c r="D782" s="349"/>
      <c r="E782" s="348"/>
      <c r="F782" s="345"/>
      <c r="G782" s="346"/>
      <c r="H782" s="348">
        <v>0</v>
      </c>
      <c r="I782" s="345"/>
      <c r="J782" s="349"/>
      <c r="K782" s="325"/>
      <c r="L782" s="325">
        <f t="shared" si="60"/>
        <v>0</v>
      </c>
      <c r="O782" s="325"/>
      <c r="P782" s="363"/>
      <c r="Q782" s="363"/>
      <c r="R782" s="364"/>
    </row>
    <row r="783" ht="16.5" hidden="1" customHeight="1" spans="1:18">
      <c r="A783" s="347" t="s">
        <v>157</v>
      </c>
      <c r="B783" s="348"/>
      <c r="C783" s="348"/>
      <c r="D783" s="349"/>
      <c r="E783" s="348"/>
      <c r="F783" s="345"/>
      <c r="G783" s="346"/>
      <c r="H783" s="348">
        <v>0</v>
      </c>
      <c r="I783" s="345"/>
      <c r="J783" s="349"/>
      <c r="K783" s="325"/>
      <c r="L783" s="325">
        <f t="shared" si="60"/>
        <v>0</v>
      </c>
      <c r="O783" s="325"/>
      <c r="P783" s="363"/>
      <c r="Q783" s="363"/>
      <c r="R783" s="364"/>
    </row>
    <row r="784" ht="16.5" customHeight="1" spans="1:18">
      <c r="A784" s="347" t="s">
        <v>164</v>
      </c>
      <c r="B784" s="348"/>
      <c r="C784" s="348"/>
      <c r="D784" s="349"/>
      <c r="E784" s="348"/>
      <c r="F784" s="345"/>
      <c r="G784" s="346"/>
      <c r="H784" s="348">
        <v>4954.332142</v>
      </c>
      <c r="I784" s="345"/>
      <c r="J784" s="349"/>
      <c r="K784" s="325"/>
      <c r="L784" s="325">
        <f t="shared" si="60"/>
        <v>4954.332142</v>
      </c>
      <c r="O784" s="325"/>
      <c r="P784" s="363"/>
      <c r="Q784" s="363"/>
      <c r="R784" s="364"/>
    </row>
    <row r="785" ht="16.5" hidden="1" customHeight="1" spans="1:18">
      <c r="A785" s="347" t="s">
        <v>717</v>
      </c>
      <c r="B785" s="348"/>
      <c r="C785" s="348"/>
      <c r="D785" s="349"/>
      <c r="E785" s="348"/>
      <c r="F785" s="345"/>
      <c r="G785" s="346"/>
      <c r="H785" s="348">
        <v>0</v>
      </c>
      <c r="I785" s="345"/>
      <c r="J785" s="349"/>
      <c r="K785" s="325"/>
      <c r="L785" s="325">
        <f t="shared" si="60"/>
        <v>0</v>
      </c>
      <c r="O785" s="325"/>
      <c r="P785" s="363"/>
      <c r="Q785" s="363"/>
      <c r="R785" s="364"/>
    </row>
    <row r="786" ht="16.5" customHeight="1" spans="1:18">
      <c r="A786" s="347" t="s">
        <v>718</v>
      </c>
      <c r="B786" s="348"/>
      <c r="C786" s="348"/>
      <c r="D786" s="349"/>
      <c r="E786" s="348"/>
      <c r="F786" s="345"/>
      <c r="G786" s="346"/>
      <c r="H786" s="348">
        <v>35.54</v>
      </c>
      <c r="I786" s="345"/>
      <c r="J786" s="349"/>
      <c r="K786" s="325"/>
      <c r="L786" s="325">
        <f t="shared" si="60"/>
        <v>35.54</v>
      </c>
      <c r="O786" s="325"/>
      <c r="P786" s="363"/>
      <c r="Q786" s="363"/>
      <c r="R786" s="364"/>
    </row>
    <row r="787" ht="16.5" customHeight="1" spans="1:18">
      <c r="A787" s="347" t="s">
        <v>719</v>
      </c>
      <c r="B787" s="348"/>
      <c r="C787" s="348"/>
      <c r="D787" s="349"/>
      <c r="E787" s="348"/>
      <c r="F787" s="345"/>
      <c r="G787" s="346"/>
      <c r="H787" s="348">
        <v>34.5</v>
      </c>
      <c r="I787" s="345"/>
      <c r="J787" s="349"/>
      <c r="K787" s="325"/>
      <c r="L787" s="325">
        <f t="shared" si="60"/>
        <v>34.5</v>
      </c>
      <c r="O787" s="325"/>
      <c r="P787" s="363"/>
      <c r="Q787" s="363"/>
      <c r="R787" s="364"/>
    </row>
    <row r="788" ht="16.5" customHeight="1" spans="1:18">
      <c r="A788" s="347" t="s">
        <v>720</v>
      </c>
      <c r="B788" s="348"/>
      <c r="C788" s="348"/>
      <c r="D788" s="349"/>
      <c r="E788" s="348"/>
      <c r="F788" s="345"/>
      <c r="G788" s="346"/>
      <c r="H788" s="348">
        <v>290.56</v>
      </c>
      <c r="I788" s="345"/>
      <c r="J788" s="349"/>
      <c r="K788" s="325"/>
      <c r="L788" s="325">
        <f t="shared" si="60"/>
        <v>290.56</v>
      </c>
      <c r="O788" s="325"/>
      <c r="P788" s="363"/>
      <c r="Q788" s="363"/>
      <c r="R788" s="364"/>
    </row>
    <row r="789" ht="16.5" customHeight="1" spans="1:18">
      <c r="A789" s="347" t="s">
        <v>721</v>
      </c>
      <c r="B789" s="348"/>
      <c r="C789" s="348"/>
      <c r="D789" s="349"/>
      <c r="E789" s="348"/>
      <c r="F789" s="345"/>
      <c r="G789" s="346"/>
      <c r="H789" s="348">
        <v>4.2</v>
      </c>
      <c r="I789" s="345"/>
      <c r="J789" s="349"/>
      <c r="K789" s="325"/>
      <c r="L789" s="325">
        <f t="shared" si="60"/>
        <v>4.2</v>
      </c>
      <c r="O789" s="325"/>
      <c r="P789" s="363"/>
      <c r="Q789" s="363"/>
      <c r="R789" s="364"/>
    </row>
    <row r="790" ht="16.5" customHeight="1" spans="1:18">
      <c r="A790" s="347" t="s">
        <v>722</v>
      </c>
      <c r="B790" s="348"/>
      <c r="C790" s="348"/>
      <c r="D790" s="349"/>
      <c r="E790" s="348"/>
      <c r="F790" s="345"/>
      <c r="G790" s="346"/>
      <c r="H790" s="348">
        <v>13.4</v>
      </c>
      <c r="I790" s="345"/>
      <c r="J790" s="349"/>
      <c r="K790" s="325"/>
      <c r="L790" s="325">
        <f t="shared" si="60"/>
        <v>13.4</v>
      </c>
      <c r="O790" s="325"/>
      <c r="P790" s="363"/>
      <c r="Q790" s="363"/>
      <c r="R790" s="364"/>
    </row>
    <row r="791" ht="16.5" hidden="1" customHeight="1" spans="1:18">
      <c r="A791" s="347" t="s">
        <v>723</v>
      </c>
      <c r="B791" s="348"/>
      <c r="C791" s="348"/>
      <c r="D791" s="349"/>
      <c r="E791" s="348"/>
      <c r="F791" s="345"/>
      <c r="G791" s="346"/>
      <c r="H791" s="348">
        <v>0</v>
      </c>
      <c r="I791" s="345"/>
      <c r="J791" s="349"/>
      <c r="K791" s="325"/>
      <c r="L791" s="325">
        <f t="shared" si="60"/>
        <v>0</v>
      </c>
      <c r="O791" s="325"/>
      <c r="P791" s="363"/>
      <c r="Q791" s="363"/>
      <c r="R791" s="364"/>
    </row>
    <row r="792" ht="16.5" hidden="1" customHeight="1" spans="1:18">
      <c r="A792" s="347" t="s">
        <v>724</v>
      </c>
      <c r="B792" s="348"/>
      <c r="C792" s="348"/>
      <c r="D792" s="349"/>
      <c r="E792" s="348"/>
      <c r="F792" s="345"/>
      <c r="G792" s="346"/>
      <c r="H792" s="348">
        <v>0</v>
      </c>
      <c r="I792" s="345"/>
      <c r="J792" s="349"/>
      <c r="K792" s="325"/>
      <c r="L792" s="325">
        <f t="shared" si="60"/>
        <v>0</v>
      </c>
      <c r="O792" s="325"/>
      <c r="P792" s="363"/>
      <c r="Q792" s="363"/>
      <c r="R792" s="364"/>
    </row>
    <row r="793" ht="16.5" hidden="1" customHeight="1" spans="1:18">
      <c r="A793" s="347" t="s">
        <v>725</v>
      </c>
      <c r="B793" s="348"/>
      <c r="C793" s="348"/>
      <c r="D793" s="349"/>
      <c r="E793" s="348"/>
      <c r="F793" s="345"/>
      <c r="G793" s="346"/>
      <c r="H793" s="348">
        <v>0</v>
      </c>
      <c r="I793" s="345"/>
      <c r="J793" s="349"/>
      <c r="K793" s="325"/>
      <c r="L793" s="325">
        <f t="shared" si="60"/>
        <v>0</v>
      </c>
      <c r="O793" s="325"/>
      <c r="P793" s="363"/>
      <c r="Q793" s="363"/>
      <c r="R793" s="364"/>
    </row>
    <row r="794" ht="16.5" hidden="1" customHeight="1" spans="1:18">
      <c r="A794" s="347" t="s">
        <v>726</v>
      </c>
      <c r="B794" s="348"/>
      <c r="C794" s="348"/>
      <c r="D794" s="349"/>
      <c r="E794" s="348"/>
      <c r="F794" s="345"/>
      <c r="G794" s="346"/>
      <c r="H794" s="348">
        <v>0</v>
      </c>
      <c r="I794" s="345"/>
      <c r="J794" s="349"/>
      <c r="K794" s="325"/>
      <c r="L794" s="325">
        <f t="shared" si="60"/>
        <v>0</v>
      </c>
      <c r="O794" s="325"/>
      <c r="P794" s="363"/>
      <c r="Q794" s="363"/>
      <c r="R794" s="364"/>
    </row>
    <row r="795" ht="16.5" hidden="1" customHeight="1" spans="1:18">
      <c r="A795" s="347" t="s">
        <v>727</v>
      </c>
      <c r="B795" s="348"/>
      <c r="C795" s="348"/>
      <c r="D795" s="349"/>
      <c r="E795" s="348"/>
      <c r="F795" s="345"/>
      <c r="G795" s="346"/>
      <c r="H795" s="348">
        <v>0</v>
      </c>
      <c r="I795" s="345"/>
      <c r="J795" s="349"/>
      <c r="K795" s="325"/>
      <c r="L795" s="325">
        <f t="shared" si="60"/>
        <v>0</v>
      </c>
      <c r="O795" s="325"/>
      <c r="P795" s="363"/>
      <c r="Q795" s="363"/>
      <c r="R795" s="364"/>
    </row>
    <row r="796" ht="16.5" hidden="1" customHeight="1" spans="1:18">
      <c r="A796" s="347" t="s">
        <v>728</v>
      </c>
      <c r="B796" s="348"/>
      <c r="C796" s="348"/>
      <c r="D796" s="349"/>
      <c r="E796" s="348"/>
      <c r="F796" s="345"/>
      <c r="G796" s="346"/>
      <c r="H796" s="348">
        <v>0</v>
      </c>
      <c r="I796" s="345"/>
      <c r="J796" s="349"/>
      <c r="K796" s="325"/>
      <c r="L796" s="325">
        <f t="shared" si="60"/>
        <v>0</v>
      </c>
      <c r="O796" s="325"/>
      <c r="P796" s="363"/>
      <c r="Q796" s="363"/>
      <c r="R796" s="364"/>
    </row>
    <row r="797" ht="16.5" hidden="1" customHeight="1" spans="1:18">
      <c r="A797" s="347" t="s">
        <v>729</v>
      </c>
      <c r="B797" s="348"/>
      <c r="C797" s="348"/>
      <c r="D797" s="349"/>
      <c r="E797" s="348"/>
      <c r="F797" s="345"/>
      <c r="G797" s="346"/>
      <c r="H797" s="348">
        <v>0</v>
      </c>
      <c r="I797" s="345"/>
      <c r="J797" s="349"/>
      <c r="K797" s="325"/>
      <c r="L797" s="325">
        <f t="shared" si="60"/>
        <v>0</v>
      </c>
      <c r="O797" s="325"/>
      <c r="P797" s="363"/>
      <c r="Q797" s="363"/>
      <c r="R797" s="364"/>
    </row>
    <row r="798" ht="16.5" hidden="1" customHeight="1" spans="1:18">
      <c r="A798" s="347" t="s">
        <v>730</v>
      </c>
      <c r="B798" s="348"/>
      <c r="C798" s="348"/>
      <c r="D798" s="349"/>
      <c r="E798" s="348"/>
      <c r="F798" s="345"/>
      <c r="G798" s="346"/>
      <c r="H798" s="348">
        <v>0</v>
      </c>
      <c r="I798" s="345"/>
      <c r="J798" s="349"/>
      <c r="K798" s="325"/>
      <c r="L798" s="325">
        <f t="shared" si="60"/>
        <v>0</v>
      </c>
      <c r="O798" s="325"/>
      <c r="P798" s="363"/>
      <c r="Q798" s="363"/>
      <c r="R798" s="364"/>
    </row>
    <row r="799" ht="16.5" hidden="1" customHeight="1" spans="1:18">
      <c r="A799" s="347" t="s">
        <v>731</v>
      </c>
      <c r="B799" s="348"/>
      <c r="C799" s="348"/>
      <c r="D799" s="349"/>
      <c r="E799" s="348"/>
      <c r="F799" s="345"/>
      <c r="G799" s="346"/>
      <c r="H799" s="348">
        <v>0</v>
      </c>
      <c r="I799" s="345"/>
      <c r="J799" s="349"/>
      <c r="K799" s="325"/>
      <c r="L799" s="325">
        <f t="shared" si="60"/>
        <v>0</v>
      </c>
      <c r="O799" s="325"/>
      <c r="P799" s="363"/>
      <c r="Q799" s="363"/>
      <c r="R799" s="364"/>
    </row>
    <row r="800" ht="16.5" customHeight="1" spans="1:18">
      <c r="A800" s="347" t="s">
        <v>732</v>
      </c>
      <c r="B800" s="348"/>
      <c r="C800" s="348"/>
      <c r="D800" s="349"/>
      <c r="E800" s="348"/>
      <c r="F800" s="345"/>
      <c r="G800" s="346"/>
      <c r="H800" s="348">
        <v>207</v>
      </c>
      <c r="I800" s="345"/>
      <c r="J800" s="349"/>
      <c r="K800" s="325"/>
      <c r="L800" s="325">
        <f t="shared" si="60"/>
        <v>207</v>
      </c>
      <c r="O800" s="325"/>
      <c r="P800" s="363"/>
      <c r="Q800" s="363"/>
      <c r="R800" s="364"/>
    </row>
    <row r="801" ht="16.5" hidden="1" customHeight="1" spans="1:18">
      <c r="A801" s="347" t="s">
        <v>733</v>
      </c>
      <c r="B801" s="348"/>
      <c r="C801" s="348"/>
      <c r="D801" s="349"/>
      <c r="E801" s="348"/>
      <c r="F801" s="345"/>
      <c r="G801" s="346"/>
      <c r="H801" s="348">
        <v>0</v>
      </c>
      <c r="I801" s="345"/>
      <c r="J801" s="349"/>
      <c r="K801" s="325"/>
      <c r="L801" s="325">
        <f t="shared" si="60"/>
        <v>0</v>
      </c>
      <c r="O801" s="325"/>
      <c r="P801" s="363"/>
      <c r="Q801" s="363"/>
      <c r="R801" s="364"/>
    </row>
    <row r="802" ht="16.5" hidden="1" customHeight="1" spans="1:18">
      <c r="A802" s="347" t="s">
        <v>734</v>
      </c>
      <c r="B802" s="348"/>
      <c r="C802" s="348"/>
      <c r="D802" s="349"/>
      <c r="E802" s="348"/>
      <c r="F802" s="345"/>
      <c r="G802" s="346"/>
      <c r="H802" s="348">
        <v>0</v>
      </c>
      <c r="I802" s="345"/>
      <c r="J802" s="349"/>
      <c r="K802" s="325"/>
      <c r="L802" s="325">
        <f t="shared" si="60"/>
        <v>0</v>
      </c>
      <c r="O802" s="325"/>
      <c r="P802" s="363"/>
      <c r="Q802" s="363"/>
      <c r="R802" s="364"/>
    </row>
    <row r="803" ht="16.5" hidden="1" customHeight="1" spans="1:18">
      <c r="A803" s="347" t="s">
        <v>735</v>
      </c>
      <c r="B803" s="348"/>
      <c r="C803" s="348"/>
      <c r="D803" s="349"/>
      <c r="E803" s="348"/>
      <c r="F803" s="345"/>
      <c r="G803" s="346"/>
      <c r="H803" s="348">
        <v>0</v>
      </c>
      <c r="I803" s="345"/>
      <c r="J803" s="349"/>
      <c r="K803" s="325"/>
      <c r="L803" s="325">
        <f t="shared" si="60"/>
        <v>0</v>
      </c>
      <c r="O803" s="325"/>
      <c r="P803" s="363"/>
      <c r="Q803" s="363"/>
      <c r="R803" s="364"/>
    </row>
    <row r="804" ht="16.5" customHeight="1" spans="1:18">
      <c r="A804" s="347" t="s">
        <v>736</v>
      </c>
      <c r="B804" s="348"/>
      <c r="C804" s="348"/>
      <c r="D804" s="349"/>
      <c r="E804" s="348"/>
      <c r="F804" s="345"/>
      <c r="G804" s="346"/>
      <c r="H804" s="348">
        <v>202.9123</v>
      </c>
      <c r="I804" s="345"/>
      <c r="J804" s="349"/>
      <c r="K804" s="325"/>
      <c r="L804" s="325">
        <f t="shared" si="60"/>
        <v>202.9123</v>
      </c>
      <c r="O804" s="325"/>
      <c r="P804" s="363"/>
      <c r="Q804" s="363"/>
      <c r="R804" s="364"/>
    </row>
    <row r="805" ht="16.5" customHeight="1" spans="1:18">
      <c r="A805" s="347" t="s">
        <v>737</v>
      </c>
      <c r="B805" s="348"/>
      <c r="C805" s="348"/>
      <c r="D805" s="349"/>
      <c r="E805" s="348"/>
      <c r="F805" s="345"/>
      <c r="G805" s="346"/>
      <c r="H805" s="348">
        <v>540.15</v>
      </c>
      <c r="I805" s="345"/>
      <c r="J805" s="349"/>
      <c r="K805" s="325"/>
      <c r="L805" s="325">
        <f t="shared" si="60"/>
        <v>540.15</v>
      </c>
      <c r="O805" s="325"/>
      <c r="P805" s="363"/>
      <c r="Q805" s="363"/>
      <c r="R805" s="364"/>
    </row>
    <row r="806" s="326" customFormat="1" ht="16.5" customHeight="1" spans="1:18">
      <c r="A806" s="347" t="s">
        <v>738</v>
      </c>
      <c r="B806" s="348">
        <v>9143</v>
      </c>
      <c r="C806" s="348">
        <v>5231</v>
      </c>
      <c r="D806" s="349">
        <f>C806/B806*100</f>
        <v>57.2131685442415</v>
      </c>
      <c r="E806" s="348">
        <v>5377</v>
      </c>
      <c r="F806" s="345">
        <f>C806-E806</f>
        <v>-146</v>
      </c>
      <c r="G806" s="346">
        <f>F806/E806*100</f>
        <v>-2.71526873721406</v>
      </c>
      <c r="H806" s="348">
        <f>SUM(H807:H828)</f>
        <v>7389.328211</v>
      </c>
      <c r="I806" s="345">
        <f>H806-B806</f>
        <v>-1753.671789</v>
      </c>
      <c r="J806" s="349">
        <f>I806/B806*100</f>
        <v>-19.1804854971016</v>
      </c>
      <c r="K806" s="325"/>
      <c r="L806" s="325">
        <f t="shared" si="60"/>
        <v>12620.328211</v>
      </c>
      <c r="O806" s="325"/>
      <c r="P806" s="363"/>
      <c r="Q806" s="363"/>
      <c r="R806" s="364"/>
    </row>
    <row r="807" ht="16.5" customHeight="1" spans="1:18">
      <c r="A807" s="365" t="s">
        <v>155</v>
      </c>
      <c r="B807" s="348"/>
      <c r="C807" s="348"/>
      <c r="D807" s="349"/>
      <c r="E807" s="348"/>
      <c r="F807" s="345"/>
      <c r="G807" s="346"/>
      <c r="H807" s="348">
        <v>258.271329</v>
      </c>
      <c r="I807" s="345"/>
      <c r="J807" s="349"/>
      <c r="K807" s="325"/>
      <c r="L807" s="325">
        <f t="shared" si="60"/>
        <v>258.271329</v>
      </c>
      <c r="O807" s="325"/>
      <c r="P807" s="363"/>
      <c r="Q807" s="363"/>
      <c r="R807" s="364"/>
    </row>
    <row r="808" ht="16.5" hidden="1" customHeight="1" spans="1:18">
      <c r="A808" s="365" t="s">
        <v>156</v>
      </c>
      <c r="B808" s="348"/>
      <c r="C808" s="348"/>
      <c r="D808" s="349"/>
      <c r="E808" s="348"/>
      <c r="F808" s="345"/>
      <c r="G808" s="346"/>
      <c r="H808" s="348">
        <v>0</v>
      </c>
      <c r="I808" s="345"/>
      <c r="J808" s="349"/>
      <c r="K808" s="325"/>
      <c r="L808" s="325">
        <f t="shared" si="60"/>
        <v>0</v>
      </c>
      <c r="O808" s="325"/>
      <c r="P808" s="363"/>
      <c r="Q808" s="363"/>
      <c r="R808" s="364"/>
    </row>
    <row r="809" ht="16.5" hidden="1" customHeight="1" spans="1:18">
      <c r="A809" s="365" t="s">
        <v>157</v>
      </c>
      <c r="B809" s="348"/>
      <c r="C809" s="348"/>
      <c r="D809" s="349"/>
      <c r="E809" s="348"/>
      <c r="F809" s="345"/>
      <c r="G809" s="346"/>
      <c r="H809" s="348">
        <v>0</v>
      </c>
      <c r="I809" s="345"/>
      <c r="J809" s="349"/>
      <c r="K809" s="325"/>
      <c r="L809" s="325">
        <f t="shared" si="60"/>
        <v>0</v>
      </c>
      <c r="O809" s="325"/>
      <c r="P809" s="363"/>
      <c r="Q809" s="363"/>
      <c r="R809" s="364"/>
    </row>
    <row r="810" ht="16.5" customHeight="1" spans="1:18">
      <c r="A810" s="365" t="s">
        <v>739</v>
      </c>
      <c r="B810" s="348"/>
      <c r="C810" s="348"/>
      <c r="D810" s="349"/>
      <c r="E810" s="348"/>
      <c r="F810" s="345"/>
      <c r="G810" s="346"/>
      <c r="H810" s="348">
        <v>2680.986882</v>
      </c>
      <c r="I810" s="345"/>
      <c r="J810" s="349"/>
      <c r="K810" s="325"/>
      <c r="L810" s="325">
        <f t="shared" si="60"/>
        <v>2680.986882</v>
      </c>
      <c r="O810" s="325"/>
      <c r="P810" s="363"/>
      <c r="Q810" s="363"/>
      <c r="R810" s="364"/>
    </row>
    <row r="811" ht="16.5" customHeight="1" spans="1:18">
      <c r="A811" s="365" t="s">
        <v>740</v>
      </c>
      <c r="B811" s="348"/>
      <c r="C811" s="348"/>
      <c r="D811" s="349"/>
      <c r="E811" s="348"/>
      <c r="F811" s="345"/>
      <c r="G811" s="346"/>
      <c r="H811" s="348">
        <v>171</v>
      </c>
      <c r="I811" s="345"/>
      <c r="J811" s="349"/>
      <c r="K811" s="325"/>
      <c r="L811" s="325">
        <f t="shared" si="60"/>
        <v>171</v>
      </c>
      <c r="O811" s="325"/>
      <c r="P811" s="363"/>
      <c r="Q811" s="363"/>
      <c r="R811" s="364"/>
    </row>
    <row r="812" ht="16.5" hidden="1" customHeight="1" spans="1:18">
      <c r="A812" s="365" t="s">
        <v>741</v>
      </c>
      <c r="B812" s="348"/>
      <c r="C812" s="348"/>
      <c r="D812" s="349"/>
      <c r="E812" s="348"/>
      <c r="F812" s="345"/>
      <c r="G812" s="346"/>
      <c r="H812" s="348">
        <v>0</v>
      </c>
      <c r="I812" s="345"/>
      <c r="J812" s="349"/>
      <c r="K812" s="325"/>
      <c r="L812" s="325">
        <f t="shared" si="60"/>
        <v>0</v>
      </c>
      <c r="O812" s="325"/>
      <c r="P812" s="363"/>
      <c r="Q812" s="363"/>
      <c r="R812" s="364"/>
    </row>
    <row r="813" ht="16.5" hidden="1" customHeight="1" spans="1:18">
      <c r="A813" s="365" t="s">
        <v>742</v>
      </c>
      <c r="B813" s="348"/>
      <c r="C813" s="348"/>
      <c r="D813" s="349"/>
      <c r="E813" s="348"/>
      <c r="F813" s="345"/>
      <c r="G813" s="346"/>
      <c r="H813" s="348">
        <v>0</v>
      </c>
      <c r="I813" s="345"/>
      <c r="J813" s="349"/>
      <c r="K813" s="325"/>
      <c r="L813" s="325">
        <f t="shared" si="60"/>
        <v>0</v>
      </c>
      <c r="O813" s="325"/>
      <c r="P813" s="363"/>
      <c r="Q813" s="363"/>
      <c r="R813" s="364"/>
    </row>
    <row r="814" ht="16.5" customHeight="1" spans="1:18">
      <c r="A814" s="365" t="s">
        <v>743</v>
      </c>
      <c r="B814" s="348"/>
      <c r="C814" s="348"/>
      <c r="D814" s="349"/>
      <c r="E814" s="348"/>
      <c r="F814" s="345"/>
      <c r="G814" s="346"/>
      <c r="H814" s="348">
        <v>90.94</v>
      </c>
      <c r="I814" s="345"/>
      <c r="J814" s="349"/>
      <c r="K814" s="325"/>
      <c r="L814" s="325">
        <f t="shared" si="60"/>
        <v>90.94</v>
      </c>
      <c r="O814" s="325"/>
      <c r="P814" s="363"/>
      <c r="Q814" s="363"/>
      <c r="R814" s="364"/>
    </row>
    <row r="815" ht="16.5" hidden="1" customHeight="1" spans="1:18">
      <c r="A815" s="365" t="s">
        <v>744</v>
      </c>
      <c r="B815" s="348"/>
      <c r="C815" s="348"/>
      <c r="D815" s="349"/>
      <c r="E815" s="348"/>
      <c r="F815" s="345"/>
      <c r="G815" s="346"/>
      <c r="H815" s="348">
        <v>0</v>
      </c>
      <c r="I815" s="345"/>
      <c r="J815" s="349"/>
      <c r="K815" s="325"/>
      <c r="L815" s="325">
        <f t="shared" si="60"/>
        <v>0</v>
      </c>
      <c r="O815" s="325"/>
      <c r="P815" s="363"/>
      <c r="Q815" s="363"/>
      <c r="R815" s="364"/>
    </row>
    <row r="816" ht="16.5" customHeight="1" spans="1:18">
      <c r="A816" s="365" t="s">
        <v>745</v>
      </c>
      <c r="B816" s="348"/>
      <c r="C816" s="348"/>
      <c r="D816" s="349"/>
      <c r="E816" s="348"/>
      <c r="F816" s="345"/>
      <c r="G816" s="346"/>
      <c r="H816" s="348">
        <v>20</v>
      </c>
      <c r="I816" s="345"/>
      <c r="J816" s="349"/>
      <c r="K816" s="325"/>
      <c r="L816" s="325">
        <f t="shared" si="60"/>
        <v>20</v>
      </c>
      <c r="O816" s="325"/>
      <c r="P816" s="363"/>
      <c r="Q816" s="363"/>
      <c r="R816" s="364"/>
    </row>
    <row r="817" ht="16.5" hidden="1" customHeight="1" spans="1:18">
      <c r="A817" s="365" t="s">
        <v>746</v>
      </c>
      <c r="B817" s="348"/>
      <c r="C817" s="348"/>
      <c r="D817" s="349"/>
      <c r="E817" s="348"/>
      <c r="F817" s="345"/>
      <c r="G817" s="346"/>
      <c r="H817" s="348">
        <v>0</v>
      </c>
      <c r="I817" s="345"/>
      <c r="J817" s="349"/>
      <c r="K817" s="325"/>
      <c r="L817" s="325">
        <f t="shared" si="60"/>
        <v>0</v>
      </c>
      <c r="O817" s="325"/>
      <c r="P817" s="363"/>
      <c r="Q817" s="363"/>
      <c r="R817" s="364"/>
    </row>
    <row r="818" ht="16.5" hidden="1" customHeight="1" spans="1:18">
      <c r="A818" s="365" t="s">
        <v>747</v>
      </c>
      <c r="B818" s="348"/>
      <c r="C818" s="348"/>
      <c r="D818" s="349"/>
      <c r="E818" s="348"/>
      <c r="F818" s="345"/>
      <c r="G818" s="346"/>
      <c r="H818" s="348">
        <v>0</v>
      </c>
      <c r="I818" s="345"/>
      <c r="J818" s="349"/>
      <c r="K818" s="325"/>
      <c r="L818" s="325">
        <f t="shared" si="60"/>
        <v>0</v>
      </c>
      <c r="O818" s="325"/>
      <c r="P818" s="363"/>
      <c r="Q818" s="363"/>
      <c r="R818" s="364"/>
    </row>
    <row r="819" ht="16.5" hidden="1" customHeight="1" spans="1:18">
      <c r="A819" s="365" t="s">
        <v>748</v>
      </c>
      <c r="B819" s="348"/>
      <c r="C819" s="348"/>
      <c r="D819" s="349"/>
      <c r="E819" s="348"/>
      <c r="F819" s="345"/>
      <c r="G819" s="346"/>
      <c r="H819" s="348">
        <v>0</v>
      </c>
      <c r="I819" s="345"/>
      <c r="J819" s="349"/>
      <c r="K819" s="325"/>
      <c r="L819" s="325">
        <f t="shared" si="60"/>
        <v>0</v>
      </c>
      <c r="O819" s="325"/>
      <c r="P819" s="363"/>
      <c r="Q819" s="363"/>
      <c r="R819" s="364"/>
    </row>
    <row r="820" ht="16.5" hidden="1" customHeight="1" spans="1:18">
      <c r="A820" s="365" t="s">
        <v>749</v>
      </c>
      <c r="B820" s="348"/>
      <c r="C820" s="348"/>
      <c r="D820" s="349"/>
      <c r="E820" s="348"/>
      <c r="F820" s="345"/>
      <c r="G820" s="346"/>
      <c r="H820" s="348">
        <v>0</v>
      </c>
      <c r="I820" s="345"/>
      <c r="J820" s="349"/>
      <c r="K820" s="325"/>
      <c r="L820" s="325">
        <f t="shared" si="60"/>
        <v>0</v>
      </c>
      <c r="O820" s="325"/>
      <c r="P820" s="363"/>
      <c r="Q820" s="363"/>
      <c r="R820" s="364"/>
    </row>
    <row r="821" ht="16.5" hidden="1" customHeight="1" spans="1:18">
      <c r="A821" s="365" t="s">
        <v>750</v>
      </c>
      <c r="B821" s="348"/>
      <c r="C821" s="348"/>
      <c r="D821" s="349"/>
      <c r="E821" s="348"/>
      <c r="F821" s="345"/>
      <c r="G821" s="346"/>
      <c r="H821" s="348">
        <v>0</v>
      </c>
      <c r="I821" s="345"/>
      <c r="J821" s="349"/>
      <c r="K821" s="325"/>
      <c r="L821" s="325">
        <f t="shared" si="60"/>
        <v>0</v>
      </c>
      <c r="O821" s="325"/>
      <c r="P821" s="363"/>
      <c r="Q821" s="363"/>
      <c r="R821" s="364"/>
    </row>
    <row r="822" ht="16.5" hidden="1" customHeight="1" spans="1:18">
      <c r="A822" s="365" t="s">
        <v>751</v>
      </c>
      <c r="B822" s="348"/>
      <c r="C822" s="348"/>
      <c r="D822" s="349"/>
      <c r="E822" s="348"/>
      <c r="F822" s="345"/>
      <c r="G822" s="346"/>
      <c r="H822" s="348">
        <v>0</v>
      </c>
      <c r="I822" s="345"/>
      <c r="J822" s="349"/>
      <c r="K822" s="325"/>
      <c r="L822" s="325">
        <f t="shared" si="60"/>
        <v>0</v>
      </c>
      <c r="O822" s="325"/>
      <c r="P822" s="363"/>
      <c r="Q822" s="363"/>
      <c r="R822" s="364"/>
    </row>
    <row r="823" ht="16.5" hidden="1" customHeight="1" spans="1:18">
      <c r="A823" s="365" t="s">
        <v>752</v>
      </c>
      <c r="B823" s="348"/>
      <c r="C823" s="348"/>
      <c r="D823" s="349"/>
      <c r="E823" s="348"/>
      <c r="F823" s="345"/>
      <c r="G823" s="346"/>
      <c r="H823" s="348">
        <v>0</v>
      </c>
      <c r="I823" s="345"/>
      <c r="J823" s="349"/>
      <c r="K823" s="325"/>
      <c r="L823" s="325">
        <f t="shared" si="60"/>
        <v>0</v>
      </c>
      <c r="O823" s="325"/>
      <c r="P823" s="363"/>
      <c r="Q823" s="363"/>
      <c r="R823" s="364"/>
    </row>
    <row r="824" ht="16.5" customHeight="1" spans="1:18">
      <c r="A824" s="365" t="s">
        <v>753</v>
      </c>
      <c r="B824" s="348"/>
      <c r="C824" s="348"/>
      <c r="D824" s="349"/>
      <c r="E824" s="348"/>
      <c r="F824" s="345"/>
      <c r="G824" s="346"/>
      <c r="H824" s="348">
        <v>110</v>
      </c>
      <c r="I824" s="345"/>
      <c r="J824" s="349"/>
      <c r="K824" s="325"/>
      <c r="L824" s="325">
        <f t="shared" si="60"/>
        <v>110</v>
      </c>
      <c r="O824" s="325"/>
      <c r="P824" s="363"/>
      <c r="Q824" s="363"/>
      <c r="R824" s="364"/>
    </row>
    <row r="825" ht="16.5" hidden="1" customHeight="1" spans="1:18">
      <c r="A825" s="365" t="s">
        <v>754</v>
      </c>
      <c r="B825" s="348"/>
      <c r="C825" s="348"/>
      <c r="D825" s="349"/>
      <c r="E825" s="348"/>
      <c r="F825" s="345"/>
      <c r="G825" s="346"/>
      <c r="H825" s="348">
        <v>0</v>
      </c>
      <c r="I825" s="345"/>
      <c r="J825" s="349"/>
      <c r="K825" s="325"/>
      <c r="L825" s="325">
        <f t="shared" si="60"/>
        <v>0</v>
      </c>
      <c r="O825" s="325"/>
      <c r="P825" s="363"/>
      <c r="Q825" s="363"/>
      <c r="R825" s="364"/>
    </row>
    <row r="826" ht="16.5" hidden="1" customHeight="1" spans="1:18">
      <c r="A826" s="365" t="s">
        <v>723</v>
      </c>
      <c r="B826" s="348"/>
      <c r="C826" s="348"/>
      <c r="D826" s="349"/>
      <c r="E826" s="348"/>
      <c r="F826" s="345"/>
      <c r="G826" s="346"/>
      <c r="H826" s="348">
        <v>0</v>
      </c>
      <c r="I826" s="345"/>
      <c r="J826" s="349"/>
      <c r="K826" s="325"/>
      <c r="L826" s="325">
        <f t="shared" si="60"/>
        <v>0</v>
      </c>
      <c r="O826" s="325"/>
      <c r="P826" s="363"/>
      <c r="Q826" s="363"/>
      <c r="R826" s="364"/>
    </row>
    <row r="827" ht="16.5" hidden="1" customHeight="1" spans="1:18">
      <c r="A827" s="365" t="s">
        <v>755</v>
      </c>
      <c r="B827" s="348"/>
      <c r="C827" s="348"/>
      <c r="D827" s="349"/>
      <c r="E827" s="348"/>
      <c r="F827" s="345"/>
      <c r="G827" s="346"/>
      <c r="H827" s="348">
        <v>0</v>
      </c>
      <c r="I827" s="345"/>
      <c r="J827" s="349"/>
      <c r="K827" s="325"/>
      <c r="L827" s="325">
        <f t="shared" si="60"/>
        <v>0</v>
      </c>
      <c r="O827" s="325"/>
      <c r="P827" s="363"/>
      <c r="Q827" s="363"/>
      <c r="R827" s="364"/>
    </row>
    <row r="828" ht="16.5" customHeight="1" spans="1:18">
      <c r="A828" s="365" t="s">
        <v>756</v>
      </c>
      <c r="B828" s="348"/>
      <c r="C828" s="348"/>
      <c r="D828" s="349"/>
      <c r="E828" s="348"/>
      <c r="F828" s="345"/>
      <c r="G828" s="346"/>
      <c r="H828" s="348">
        <v>4058.13</v>
      </c>
      <c r="I828" s="345"/>
      <c r="J828" s="349"/>
      <c r="K828" s="325"/>
      <c r="L828" s="325">
        <f t="shared" si="60"/>
        <v>4058.13</v>
      </c>
      <c r="O828" s="325"/>
      <c r="P828" s="363"/>
      <c r="Q828" s="363"/>
      <c r="R828" s="364"/>
    </row>
    <row r="829" s="326" customFormat="1" ht="16.5" customHeight="1" spans="1:18">
      <c r="A829" s="347" t="s">
        <v>757</v>
      </c>
      <c r="B829" s="348">
        <v>5662</v>
      </c>
      <c r="C829" s="348">
        <v>7595</v>
      </c>
      <c r="D829" s="349">
        <f>C829/B829*100</f>
        <v>134.139879901095</v>
      </c>
      <c r="E829" s="348">
        <v>133219</v>
      </c>
      <c r="F829" s="345">
        <f>C829-E829</f>
        <v>-125624</v>
      </c>
      <c r="G829" s="346">
        <f>F829/E829*100</f>
        <v>-94.2988612735421</v>
      </c>
      <c r="H829" s="348">
        <f>SUM(H830:H853)</f>
        <v>5258.898445</v>
      </c>
      <c r="I829" s="345">
        <f>H829-B829</f>
        <v>-403.101555</v>
      </c>
      <c r="J829" s="349">
        <f>I829/B829*100</f>
        <v>-7.11941990462734</v>
      </c>
      <c r="K829" s="325"/>
      <c r="L829" s="325">
        <f t="shared" si="60"/>
        <v>12853.898445</v>
      </c>
      <c r="O829" s="325"/>
      <c r="P829" s="363"/>
      <c r="Q829" s="363"/>
      <c r="R829" s="364"/>
    </row>
    <row r="830" ht="16.5" customHeight="1" spans="1:18">
      <c r="A830" s="347" t="s">
        <v>155</v>
      </c>
      <c r="B830" s="348"/>
      <c r="C830" s="348"/>
      <c r="D830" s="349"/>
      <c r="E830" s="348"/>
      <c r="F830" s="345"/>
      <c r="G830" s="346"/>
      <c r="H830" s="348">
        <v>482.523928</v>
      </c>
      <c r="I830" s="345"/>
      <c r="J830" s="349"/>
      <c r="K830" s="325"/>
      <c r="L830" s="325">
        <f t="shared" si="60"/>
        <v>482.523928</v>
      </c>
      <c r="O830" s="325"/>
      <c r="P830" s="363"/>
      <c r="Q830" s="363"/>
      <c r="R830" s="364"/>
    </row>
    <row r="831" ht="16.5" hidden="1" customHeight="1" spans="1:18">
      <c r="A831" s="347" t="s">
        <v>156</v>
      </c>
      <c r="B831" s="348"/>
      <c r="C831" s="348"/>
      <c r="D831" s="349"/>
      <c r="E831" s="348"/>
      <c r="F831" s="345"/>
      <c r="G831" s="346"/>
      <c r="H831" s="348">
        <v>0</v>
      </c>
      <c r="I831" s="345"/>
      <c r="J831" s="349"/>
      <c r="K831" s="325"/>
      <c r="L831" s="325">
        <f t="shared" si="60"/>
        <v>0</v>
      </c>
      <c r="O831" s="325"/>
      <c r="P831" s="363"/>
      <c r="Q831" s="363"/>
      <c r="R831" s="364"/>
    </row>
    <row r="832" ht="16.5" hidden="1" customHeight="1" spans="1:18">
      <c r="A832" s="365" t="s">
        <v>157</v>
      </c>
      <c r="B832" s="348"/>
      <c r="C832" s="348"/>
      <c r="D832" s="349"/>
      <c r="E832" s="348"/>
      <c r="F832" s="345"/>
      <c r="G832" s="346"/>
      <c r="H832" s="348">
        <v>0</v>
      </c>
      <c r="I832" s="345"/>
      <c r="J832" s="349"/>
      <c r="K832" s="325"/>
      <c r="L832" s="325">
        <f t="shared" si="60"/>
        <v>0</v>
      </c>
      <c r="O832" s="325"/>
      <c r="P832" s="363"/>
      <c r="Q832" s="363"/>
      <c r="R832" s="364"/>
    </row>
    <row r="833" ht="16.5" customHeight="1" spans="1:18">
      <c r="A833" s="347" t="s">
        <v>758</v>
      </c>
      <c r="B833" s="348"/>
      <c r="C833" s="348"/>
      <c r="D833" s="349"/>
      <c r="E833" s="348"/>
      <c r="F833" s="345"/>
      <c r="G833" s="346"/>
      <c r="H833" s="348">
        <v>1767.072301</v>
      </c>
      <c r="I833" s="345"/>
      <c r="J833" s="349"/>
      <c r="K833" s="325"/>
      <c r="L833" s="325">
        <f t="shared" si="60"/>
        <v>1767.072301</v>
      </c>
      <c r="O833" s="325"/>
      <c r="P833" s="363"/>
      <c r="Q833" s="363"/>
      <c r="R833" s="364"/>
    </row>
    <row r="834" ht="16.5" customHeight="1" spans="1:18">
      <c r="A834" s="347" t="s">
        <v>759</v>
      </c>
      <c r="B834" s="348"/>
      <c r="C834" s="348"/>
      <c r="D834" s="349"/>
      <c r="E834" s="348"/>
      <c r="F834" s="345"/>
      <c r="G834" s="346"/>
      <c r="H834" s="348">
        <v>1804.470357</v>
      </c>
      <c r="I834" s="345"/>
      <c r="J834" s="349"/>
      <c r="K834" s="325"/>
      <c r="L834" s="325">
        <f t="shared" si="60"/>
        <v>1804.470357</v>
      </c>
      <c r="O834" s="325"/>
      <c r="P834" s="363"/>
      <c r="Q834" s="363"/>
      <c r="R834" s="364"/>
    </row>
    <row r="835" ht="16.5" customHeight="1" spans="1:18">
      <c r="A835" s="347" t="s">
        <v>760</v>
      </c>
      <c r="B835" s="348"/>
      <c r="C835" s="348"/>
      <c r="D835" s="349"/>
      <c r="E835" s="348"/>
      <c r="F835" s="345"/>
      <c r="G835" s="346"/>
      <c r="H835" s="348">
        <v>6.4</v>
      </c>
      <c r="I835" s="345"/>
      <c r="J835" s="349"/>
      <c r="K835" s="325"/>
      <c r="L835" s="325">
        <f t="shared" si="60"/>
        <v>6.4</v>
      </c>
      <c r="O835" s="325"/>
      <c r="P835" s="363"/>
      <c r="Q835" s="363"/>
      <c r="R835" s="364"/>
    </row>
    <row r="836" ht="16.5" customHeight="1" spans="1:18">
      <c r="A836" s="347" t="s">
        <v>761</v>
      </c>
      <c r="B836" s="348"/>
      <c r="C836" s="348"/>
      <c r="D836" s="349"/>
      <c r="E836" s="348"/>
      <c r="F836" s="345"/>
      <c r="G836" s="346"/>
      <c r="H836" s="348">
        <v>67.259536</v>
      </c>
      <c r="I836" s="345"/>
      <c r="J836" s="349"/>
      <c r="K836" s="325"/>
      <c r="L836" s="325">
        <f t="shared" si="60"/>
        <v>67.259536</v>
      </c>
      <c r="O836" s="325"/>
      <c r="P836" s="363"/>
      <c r="Q836" s="363"/>
      <c r="R836" s="364"/>
    </row>
    <row r="837" ht="16.5" customHeight="1" spans="1:18">
      <c r="A837" s="347" t="s">
        <v>762</v>
      </c>
      <c r="B837" s="348"/>
      <c r="C837" s="348"/>
      <c r="D837" s="349"/>
      <c r="E837" s="348"/>
      <c r="F837" s="345"/>
      <c r="G837" s="346"/>
      <c r="H837" s="348">
        <v>1.224569</v>
      </c>
      <c r="I837" s="345"/>
      <c r="J837" s="349"/>
      <c r="K837" s="325"/>
      <c r="L837" s="325">
        <f t="shared" si="60"/>
        <v>1.224569</v>
      </c>
      <c r="O837" s="325"/>
      <c r="P837" s="363"/>
      <c r="Q837" s="363"/>
      <c r="R837" s="364"/>
    </row>
    <row r="838" ht="16.5" hidden="1" customHeight="1" spans="1:18">
      <c r="A838" s="347" t="s">
        <v>763</v>
      </c>
      <c r="B838" s="348"/>
      <c r="C838" s="348"/>
      <c r="D838" s="349"/>
      <c r="E838" s="348"/>
      <c r="F838" s="345"/>
      <c r="G838" s="346"/>
      <c r="H838" s="348">
        <v>0</v>
      </c>
      <c r="I838" s="345"/>
      <c r="J838" s="349"/>
      <c r="K838" s="325"/>
      <c r="L838" s="325">
        <f t="shared" si="60"/>
        <v>0</v>
      </c>
      <c r="O838" s="325"/>
      <c r="P838" s="363"/>
      <c r="Q838" s="363"/>
      <c r="R838" s="364"/>
    </row>
    <row r="839" ht="16.5" customHeight="1" spans="1:18">
      <c r="A839" s="347" t="s">
        <v>764</v>
      </c>
      <c r="B839" s="348"/>
      <c r="C839" s="348"/>
      <c r="D839" s="349"/>
      <c r="E839" s="348"/>
      <c r="F839" s="345"/>
      <c r="G839" s="346"/>
      <c r="H839" s="348">
        <v>6.83161</v>
      </c>
      <c r="I839" s="345"/>
      <c r="J839" s="349"/>
      <c r="K839" s="325"/>
      <c r="L839" s="325">
        <f t="shared" si="60"/>
        <v>6.83161</v>
      </c>
      <c r="O839" s="325"/>
      <c r="P839" s="363"/>
      <c r="Q839" s="363"/>
      <c r="R839" s="364"/>
    </row>
    <row r="840" ht="16.5" hidden="1" customHeight="1" spans="1:18">
      <c r="A840" s="347" t="s">
        <v>765</v>
      </c>
      <c r="B840" s="348"/>
      <c r="C840" s="348"/>
      <c r="D840" s="349"/>
      <c r="E840" s="348"/>
      <c r="F840" s="345"/>
      <c r="G840" s="346"/>
      <c r="H840" s="348">
        <v>0</v>
      </c>
      <c r="I840" s="345"/>
      <c r="J840" s="349"/>
      <c r="K840" s="325"/>
      <c r="L840" s="325">
        <f t="shared" ref="L840:L903" si="63">C840+H840</f>
        <v>0</v>
      </c>
      <c r="O840" s="325"/>
      <c r="P840" s="363"/>
      <c r="Q840" s="363"/>
      <c r="R840" s="364"/>
    </row>
    <row r="841" ht="16.5" hidden="1" customHeight="1" spans="1:18">
      <c r="A841" s="347" t="s">
        <v>766</v>
      </c>
      <c r="B841" s="348"/>
      <c r="C841" s="348"/>
      <c r="D841" s="349"/>
      <c r="E841" s="348"/>
      <c r="F841" s="345"/>
      <c r="G841" s="346"/>
      <c r="H841" s="348">
        <v>0</v>
      </c>
      <c r="I841" s="345"/>
      <c r="J841" s="349"/>
      <c r="K841" s="325"/>
      <c r="L841" s="325">
        <f t="shared" si="63"/>
        <v>0</v>
      </c>
      <c r="O841" s="325"/>
      <c r="P841" s="363"/>
      <c r="Q841" s="363"/>
      <c r="R841" s="364"/>
    </row>
    <row r="842" ht="16.5" customHeight="1" spans="1:18">
      <c r="A842" s="347" t="s">
        <v>767</v>
      </c>
      <c r="B842" s="348"/>
      <c r="C842" s="348"/>
      <c r="D842" s="349"/>
      <c r="E842" s="348"/>
      <c r="F842" s="345"/>
      <c r="G842" s="346"/>
      <c r="H842" s="348">
        <v>97.734544</v>
      </c>
      <c r="I842" s="345"/>
      <c r="J842" s="349"/>
      <c r="K842" s="325"/>
      <c r="L842" s="325">
        <f t="shared" si="63"/>
        <v>97.734544</v>
      </c>
      <c r="O842" s="325"/>
      <c r="P842" s="363"/>
      <c r="Q842" s="363"/>
      <c r="R842" s="364"/>
    </row>
    <row r="843" ht="16.5" hidden="1" customHeight="1" spans="1:18">
      <c r="A843" s="347" t="s">
        <v>768</v>
      </c>
      <c r="B843" s="348"/>
      <c r="C843" s="348"/>
      <c r="D843" s="349"/>
      <c r="E843" s="348"/>
      <c r="F843" s="345"/>
      <c r="G843" s="346"/>
      <c r="H843" s="348">
        <v>0</v>
      </c>
      <c r="I843" s="345"/>
      <c r="J843" s="349"/>
      <c r="K843" s="325"/>
      <c r="L843" s="325">
        <f t="shared" si="63"/>
        <v>0</v>
      </c>
      <c r="O843" s="325"/>
      <c r="P843" s="363"/>
      <c r="Q843" s="363"/>
      <c r="R843" s="364"/>
    </row>
    <row r="844" ht="16.5" customHeight="1" spans="1:18">
      <c r="A844" s="347" t="s">
        <v>769</v>
      </c>
      <c r="B844" s="348"/>
      <c r="C844" s="348"/>
      <c r="D844" s="349"/>
      <c r="E844" s="348"/>
      <c r="F844" s="345"/>
      <c r="G844" s="346"/>
      <c r="H844" s="348">
        <v>23</v>
      </c>
      <c r="I844" s="345"/>
      <c r="J844" s="349"/>
      <c r="K844" s="325"/>
      <c r="L844" s="325">
        <f t="shared" si="63"/>
        <v>23</v>
      </c>
      <c r="O844" s="325"/>
      <c r="P844" s="363"/>
      <c r="Q844" s="363"/>
      <c r="R844" s="364"/>
    </row>
    <row r="845" ht="16.5" hidden="1" customHeight="1" spans="1:18">
      <c r="A845" s="347" t="s">
        <v>770</v>
      </c>
      <c r="B845" s="348"/>
      <c r="C845" s="348"/>
      <c r="D845" s="349"/>
      <c r="E845" s="348"/>
      <c r="F845" s="345"/>
      <c r="G845" s="346"/>
      <c r="H845" s="348">
        <v>0</v>
      </c>
      <c r="I845" s="345"/>
      <c r="J845" s="349"/>
      <c r="K845" s="325"/>
      <c r="L845" s="325">
        <f t="shared" si="63"/>
        <v>0</v>
      </c>
      <c r="O845" s="325"/>
      <c r="P845" s="363"/>
      <c r="Q845" s="363"/>
      <c r="R845" s="364"/>
    </row>
    <row r="846" ht="16.5" hidden="1" customHeight="1" spans="1:18">
      <c r="A846" s="347" t="s">
        <v>771</v>
      </c>
      <c r="B846" s="348"/>
      <c r="C846" s="348"/>
      <c r="D846" s="349"/>
      <c r="E846" s="348"/>
      <c r="F846" s="345"/>
      <c r="G846" s="346"/>
      <c r="H846" s="348">
        <v>0</v>
      </c>
      <c r="I846" s="345"/>
      <c r="J846" s="349"/>
      <c r="K846" s="325"/>
      <c r="L846" s="325">
        <f t="shared" si="63"/>
        <v>0</v>
      </c>
      <c r="O846" s="325"/>
      <c r="P846" s="363"/>
      <c r="Q846" s="363"/>
      <c r="R846" s="364"/>
    </row>
    <row r="847" ht="16.5" hidden="1" customHeight="1" spans="1:18">
      <c r="A847" s="347" t="s">
        <v>772</v>
      </c>
      <c r="B847" s="348"/>
      <c r="C847" s="348"/>
      <c r="D847" s="349"/>
      <c r="E847" s="348"/>
      <c r="F847" s="345"/>
      <c r="G847" s="346"/>
      <c r="H847" s="348">
        <v>0</v>
      </c>
      <c r="I847" s="345"/>
      <c r="J847" s="349"/>
      <c r="K847" s="325"/>
      <c r="L847" s="325">
        <f t="shared" si="63"/>
        <v>0</v>
      </c>
      <c r="O847" s="325"/>
      <c r="P847" s="363"/>
      <c r="Q847" s="363"/>
      <c r="R847" s="364"/>
    </row>
    <row r="848" ht="16.5" hidden="1" customHeight="1" spans="1:18">
      <c r="A848" s="347" t="s">
        <v>773</v>
      </c>
      <c r="B848" s="348"/>
      <c r="C848" s="348"/>
      <c r="D848" s="349"/>
      <c r="E848" s="348"/>
      <c r="F848" s="345"/>
      <c r="G848" s="346"/>
      <c r="H848" s="348">
        <v>0</v>
      </c>
      <c r="I848" s="345"/>
      <c r="J848" s="349"/>
      <c r="K848" s="325"/>
      <c r="L848" s="325">
        <f t="shared" si="63"/>
        <v>0</v>
      </c>
      <c r="O848" s="325"/>
      <c r="P848" s="363"/>
      <c r="Q848" s="363"/>
      <c r="R848" s="364"/>
    </row>
    <row r="849" ht="16.5" hidden="1" customHeight="1" spans="1:18">
      <c r="A849" s="347" t="s">
        <v>774</v>
      </c>
      <c r="B849" s="348"/>
      <c r="C849" s="348"/>
      <c r="D849" s="349"/>
      <c r="E849" s="348"/>
      <c r="F849" s="345"/>
      <c r="G849" s="346"/>
      <c r="H849" s="348">
        <v>0</v>
      </c>
      <c r="I849" s="345"/>
      <c r="J849" s="349"/>
      <c r="K849" s="325"/>
      <c r="L849" s="325">
        <f t="shared" si="63"/>
        <v>0</v>
      </c>
      <c r="O849" s="325"/>
      <c r="P849" s="363"/>
      <c r="Q849" s="363"/>
      <c r="R849" s="364"/>
    </row>
    <row r="850" ht="16.5" customHeight="1" spans="1:18">
      <c r="A850" s="347" t="s">
        <v>750</v>
      </c>
      <c r="B850" s="348"/>
      <c r="C850" s="348"/>
      <c r="D850" s="349"/>
      <c r="E850" s="348"/>
      <c r="F850" s="345"/>
      <c r="G850" s="346"/>
      <c r="H850" s="348">
        <v>2</v>
      </c>
      <c r="I850" s="345"/>
      <c r="J850" s="349"/>
      <c r="K850" s="325"/>
      <c r="L850" s="325">
        <f t="shared" si="63"/>
        <v>2</v>
      </c>
      <c r="O850" s="325"/>
      <c r="P850" s="363"/>
      <c r="Q850" s="363"/>
      <c r="R850" s="364"/>
    </row>
    <row r="851" ht="16.5" hidden="1" customHeight="1" spans="1:18">
      <c r="A851" s="347" t="s">
        <v>775</v>
      </c>
      <c r="B851" s="348"/>
      <c r="C851" s="348"/>
      <c r="D851" s="349"/>
      <c r="E851" s="348"/>
      <c r="F851" s="345"/>
      <c r="G851" s="346"/>
      <c r="H851" s="348">
        <v>0</v>
      </c>
      <c r="I851" s="345"/>
      <c r="J851" s="349"/>
      <c r="K851" s="325"/>
      <c r="L851" s="325">
        <f t="shared" si="63"/>
        <v>0</v>
      </c>
      <c r="O851" s="325"/>
      <c r="P851" s="363"/>
      <c r="Q851" s="363"/>
      <c r="R851" s="364"/>
    </row>
    <row r="852" ht="16.5" hidden="1" customHeight="1" spans="1:18">
      <c r="A852" s="347" t="s">
        <v>776</v>
      </c>
      <c r="B852" s="348"/>
      <c r="C852" s="348"/>
      <c r="D852" s="349"/>
      <c r="E852" s="348"/>
      <c r="F852" s="345"/>
      <c r="G852" s="346"/>
      <c r="H852" s="348">
        <v>0</v>
      </c>
      <c r="I852" s="345"/>
      <c r="J852" s="349"/>
      <c r="K852" s="325"/>
      <c r="L852" s="325">
        <f t="shared" si="63"/>
        <v>0</v>
      </c>
      <c r="O852" s="325"/>
      <c r="P852" s="363"/>
      <c r="Q852" s="363"/>
      <c r="R852" s="364"/>
    </row>
    <row r="853" ht="16.5" customHeight="1" spans="1:18">
      <c r="A853" s="347" t="s">
        <v>777</v>
      </c>
      <c r="B853" s="348"/>
      <c r="C853" s="348"/>
      <c r="D853" s="349"/>
      <c r="E853" s="348"/>
      <c r="F853" s="345"/>
      <c r="G853" s="346"/>
      <c r="H853" s="348">
        <v>1000.3816</v>
      </c>
      <c r="I853" s="345"/>
      <c r="J853" s="349"/>
      <c r="K853" s="325"/>
      <c r="L853" s="325">
        <f t="shared" si="63"/>
        <v>1000.3816</v>
      </c>
      <c r="O853" s="325"/>
      <c r="P853" s="363"/>
      <c r="Q853" s="363"/>
      <c r="R853" s="364"/>
    </row>
    <row r="854" s="326" customFormat="1" ht="16.5" customHeight="1" spans="1:18">
      <c r="A854" s="347" t="s">
        <v>778</v>
      </c>
      <c r="B854" s="348">
        <v>300</v>
      </c>
      <c r="C854" s="348">
        <v>57</v>
      </c>
      <c r="D854" s="349">
        <f>C854/B854*100</f>
        <v>19</v>
      </c>
      <c r="E854" s="348">
        <v>347</v>
      </c>
      <c r="F854" s="345">
        <f>C854-E854</f>
        <v>-290</v>
      </c>
      <c r="G854" s="346">
        <f>F854/E854*100</f>
        <v>-83.5734870317003</v>
      </c>
      <c r="H854" s="348">
        <f>SUM(H855:H859)</f>
        <v>0</v>
      </c>
      <c r="I854" s="345">
        <f>H854-B854</f>
        <v>-300</v>
      </c>
      <c r="J854" s="349">
        <f>I854/B854*100</f>
        <v>-100</v>
      </c>
      <c r="K854" s="325"/>
      <c r="L854" s="325">
        <f t="shared" si="63"/>
        <v>57</v>
      </c>
      <c r="O854" s="325"/>
      <c r="P854" s="363"/>
      <c r="Q854" s="363"/>
      <c r="R854" s="364"/>
    </row>
    <row r="855" ht="16.5" hidden="1" customHeight="1" spans="1:18">
      <c r="A855" s="347" t="s">
        <v>779</v>
      </c>
      <c r="B855" s="348"/>
      <c r="C855" s="348"/>
      <c r="D855" s="349"/>
      <c r="E855" s="348"/>
      <c r="F855" s="345"/>
      <c r="G855" s="346"/>
      <c r="H855" s="348"/>
      <c r="I855" s="345"/>
      <c r="J855" s="349"/>
      <c r="K855" s="325"/>
      <c r="L855" s="325">
        <f t="shared" si="63"/>
        <v>0</v>
      </c>
      <c r="O855" s="325"/>
      <c r="P855" s="363"/>
      <c r="Q855" s="363"/>
      <c r="R855" s="364"/>
    </row>
    <row r="856" ht="16.5" hidden="1" customHeight="1" spans="1:18">
      <c r="A856" s="347" t="s">
        <v>780</v>
      </c>
      <c r="B856" s="348"/>
      <c r="C856" s="348"/>
      <c r="D856" s="349"/>
      <c r="E856" s="348"/>
      <c r="F856" s="345"/>
      <c r="G856" s="346"/>
      <c r="H856" s="348"/>
      <c r="I856" s="345"/>
      <c r="J856" s="349"/>
      <c r="K856" s="325"/>
      <c r="L856" s="325">
        <f t="shared" si="63"/>
        <v>0</v>
      </c>
      <c r="O856" s="325"/>
      <c r="P856" s="363"/>
      <c r="Q856" s="363"/>
      <c r="R856" s="364"/>
    </row>
    <row r="857" ht="16.5" hidden="1" customHeight="1" spans="1:18">
      <c r="A857" s="347" t="s">
        <v>781</v>
      </c>
      <c r="B857" s="348"/>
      <c r="C857" s="348"/>
      <c r="D857" s="349"/>
      <c r="E857" s="348"/>
      <c r="F857" s="345"/>
      <c r="G857" s="346"/>
      <c r="H857" s="348"/>
      <c r="I857" s="345"/>
      <c r="J857" s="349"/>
      <c r="K857" s="325"/>
      <c r="L857" s="325">
        <f t="shared" si="63"/>
        <v>0</v>
      </c>
      <c r="O857" s="325"/>
      <c r="P857" s="363"/>
      <c r="Q857" s="363"/>
      <c r="R857" s="364"/>
    </row>
    <row r="858" ht="16.5" hidden="1" customHeight="1" spans="1:18">
      <c r="A858" s="347" t="s">
        <v>782</v>
      </c>
      <c r="B858" s="348"/>
      <c r="C858" s="348"/>
      <c r="D858" s="349"/>
      <c r="E858" s="348"/>
      <c r="F858" s="345"/>
      <c r="G858" s="346"/>
      <c r="H858" s="348"/>
      <c r="I858" s="345"/>
      <c r="J858" s="349"/>
      <c r="K858" s="325"/>
      <c r="L858" s="325">
        <f t="shared" si="63"/>
        <v>0</v>
      </c>
      <c r="O858" s="325"/>
      <c r="P858" s="363"/>
      <c r="Q858" s="363"/>
      <c r="R858" s="364"/>
    </row>
    <row r="859" ht="16.5" hidden="1" customHeight="1" spans="1:18">
      <c r="A859" s="347" t="s">
        <v>783</v>
      </c>
      <c r="B859" s="348"/>
      <c r="C859" s="348"/>
      <c r="D859" s="349"/>
      <c r="E859" s="348"/>
      <c r="F859" s="345"/>
      <c r="G859" s="346"/>
      <c r="H859" s="348"/>
      <c r="I859" s="345"/>
      <c r="J859" s="349"/>
      <c r="K859" s="325"/>
      <c r="L859" s="325">
        <f t="shared" si="63"/>
        <v>0</v>
      </c>
      <c r="O859" s="325"/>
      <c r="P859" s="363"/>
      <c r="Q859" s="363"/>
      <c r="R859" s="364"/>
    </row>
    <row r="860" s="326" customFormat="1" ht="16.5" customHeight="1" spans="1:18">
      <c r="A860" s="347" t="s">
        <v>784</v>
      </c>
      <c r="B860" s="348">
        <v>1547</v>
      </c>
      <c r="C860" s="348">
        <v>1327</v>
      </c>
      <c r="D860" s="349">
        <f>C860/B860*100</f>
        <v>85.7789269553975</v>
      </c>
      <c r="E860" s="348">
        <v>27</v>
      </c>
      <c r="F860" s="345">
        <f>C860-E860</f>
        <v>1300</v>
      </c>
      <c r="G860" s="346">
        <f>F860/E860*100</f>
        <v>4814.81481481481</v>
      </c>
      <c r="H860" s="348">
        <f>SUM(H861:H865)</f>
        <v>2517.3</v>
      </c>
      <c r="I860" s="345">
        <f>H860-B860</f>
        <v>970.3</v>
      </c>
      <c r="J860" s="349">
        <f>I860/B860*100</f>
        <v>62.721396250808</v>
      </c>
      <c r="K860" s="325"/>
      <c r="L860" s="325">
        <f t="shared" si="63"/>
        <v>3844.3</v>
      </c>
      <c r="O860" s="325"/>
      <c r="P860" s="363"/>
      <c r="Q860" s="363"/>
      <c r="R860" s="364"/>
    </row>
    <row r="861" ht="16.5" hidden="1" customHeight="1" spans="1:18">
      <c r="A861" s="347" t="s">
        <v>785</v>
      </c>
      <c r="B861" s="348"/>
      <c r="C861" s="348"/>
      <c r="D861" s="349"/>
      <c r="E861" s="348"/>
      <c r="F861" s="345"/>
      <c r="G861" s="346"/>
      <c r="H861" s="348">
        <v>0</v>
      </c>
      <c r="I861" s="345"/>
      <c r="J861" s="349"/>
      <c r="K861" s="325"/>
      <c r="L861" s="325">
        <f t="shared" si="63"/>
        <v>0</v>
      </c>
      <c r="O861" s="325"/>
      <c r="P861" s="363"/>
      <c r="Q861" s="363"/>
      <c r="R861" s="364"/>
    </row>
    <row r="862" ht="16.5" customHeight="1" spans="1:18">
      <c r="A862" s="347" t="s">
        <v>786</v>
      </c>
      <c r="B862" s="348"/>
      <c r="C862" s="348"/>
      <c r="D862" s="349"/>
      <c r="E862" s="348"/>
      <c r="F862" s="345"/>
      <c r="G862" s="346"/>
      <c r="H862" s="348">
        <v>2501.3</v>
      </c>
      <c r="I862" s="345"/>
      <c r="J862" s="349"/>
      <c r="K862" s="325"/>
      <c r="L862" s="325">
        <f t="shared" si="63"/>
        <v>2501.3</v>
      </c>
      <c r="O862" s="325"/>
      <c r="P862" s="363"/>
      <c r="Q862" s="363"/>
      <c r="R862" s="364"/>
    </row>
    <row r="863" ht="16.5" hidden="1" customHeight="1" spans="1:18">
      <c r="A863" s="347" t="s">
        <v>787</v>
      </c>
      <c r="B863" s="348"/>
      <c r="C863" s="348"/>
      <c r="D863" s="349"/>
      <c r="E863" s="348"/>
      <c r="F863" s="345"/>
      <c r="G863" s="346"/>
      <c r="H863" s="348">
        <v>0</v>
      </c>
      <c r="I863" s="345"/>
      <c r="J863" s="349"/>
      <c r="K863" s="325"/>
      <c r="L863" s="325">
        <f t="shared" si="63"/>
        <v>0</v>
      </c>
      <c r="O863" s="325"/>
      <c r="P863" s="363"/>
      <c r="Q863" s="363"/>
      <c r="R863" s="364"/>
    </row>
    <row r="864" ht="16.5" hidden="1" customHeight="1" spans="1:18">
      <c r="A864" s="347" t="s">
        <v>788</v>
      </c>
      <c r="B864" s="348"/>
      <c r="C864" s="348"/>
      <c r="D864" s="349"/>
      <c r="E864" s="348"/>
      <c r="F864" s="345"/>
      <c r="G864" s="346"/>
      <c r="H864" s="348">
        <v>0</v>
      </c>
      <c r="I864" s="345"/>
      <c r="J864" s="349"/>
      <c r="K864" s="325"/>
      <c r="L864" s="325">
        <f t="shared" si="63"/>
        <v>0</v>
      </c>
      <c r="O864" s="325"/>
      <c r="P864" s="363"/>
      <c r="Q864" s="363"/>
      <c r="R864" s="364"/>
    </row>
    <row r="865" ht="16.5" customHeight="1" spans="1:18">
      <c r="A865" s="347" t="s">
        <v>789</v>
      </c>
      <c r="B865" s="348"/>
      <c r="C865" s="348"/>
      <c r="D865" s="349"/>
      <c r="E865" s="348"/>
      <c r="F865" s="345"/>
      <c r="G865" s="346"/>
      <c r="H865" s="348">
        <v>16</v>
      </c>
      <c r="I865" s="345"/>
      <c r="J865" s="349"/>
      <c r="K865" s="325"/>
      <c r="L865" s="325">
        <f t="shared" si="63"/>
        <v>16</v>
      </c>
      <c r="O865" s="325"/>
      <c r="P865" s="363"/>
      <c r="Q865" s="363"/>
      <c r="R865" s="364"/>
    </row>
    <row r="866" s="326" customFormat="1" ht="16.5" customHeight="1" spans="1:18">
      <c r="A866" s="347" t="s">
        <v>790</v>
      </c>
      <c r="B866" s="348">
        <v>601</v>
      </c>
      <c r="C866" s="348">
        <v>141</v>
      </c>
      <c r="D866" s="349">
        <f>C866/B866*100</f>
        <v>23.4608985024958</v>
      </c>
      <c r="E866" s="348">
        <v>15</v>
      </c>
      <c r="F866" s="345">
        <f>C866-E866</f>
        <v>126</v>
      </c>
      <c r="G866" s="346">
        <f>F866/E866*100</f>
        <v>840</v>
      </c>
      <c r="H866" s="348">
        <f>SUM(H867:H871)</f>
        <v>1089.99</v>
      </c>
      <c r="I866" s="345">
        <f>H866-B866</f>
        <v>488.99</v>
      </c>
      <c r="J866" s="349">
        <f>I866/B866*100</f>
        <v>81.3627287853577</v>
      </c>
      <c r="K866" s="325"/>
      <c r="L866" s="325">
        <f t="shared" si="63"/>
        <v>1230.99</v>
      </c>
      <c r="O866" s="325"/>
      <c r="P866" s="363"/>
      <c r="Q866" s="363"/>
      <c r="R866" s="364"/>
    </row>
    <row r="867" ht="16.5" hidden="1" customHeight="1" spans="1:18">
      <c r="A867" s="347" t="s">
        <v>791</v>
      </c>
      <c r="B867" s="348"/>
      <c r="C867" s="348"/>
      <c r="D867" s="349"/>
      <c r="E867" s="348"/>
      <c r="F867" s="345"/>
      <c r="G867" s="346"/>
      <c r="H867" s="348">
        <v>0</v>
      </c>
      <c r="I867" s="345"/>
      <c r="J867" s="349"/>
      <c r="K867" s="325"/>
      <c r="L867" s="325">
        <f t="shared" si="63"/>
        <v>0</v>
      </c>
      <c r="O867" s="325"/>
      <c r="P867" s="363"/>
      <c r="Q867" s="363"/>
      <c r="R867" s="364"/>
    </row>
    <row r="868" ht="16.5" hidden="1" customHeight="1" spans="1:18">
      <c r="A868" s="347" t="s">
        <v>792</v>
      </c>
      <c r="B868" s="348"/>
      <c r="C868" s="348"/>
      <c r="D868" s="349"/>
      <c r="E868" s="348"/>
      <c r="F868" s="345"/>
      <c r="G868" s="346"/>
      <c r="H868" s="348">
        <v>0</v>
      </c>
      <c r="I868" s="345"/>
      <c r="J868" s="349"/>
      <c r="K868" s="325"/>
      <c r="L868" s="325">
        <f t="shared" si="63"/>
        <v>0</v>
      </c>
      <c r="O868" s="325"/>
      <c r="P868" s="363"/>
      <c r="Q868" s="363"/>
      <c r="R868" s="364"/>
    </row>
    <row r="869" ht="16.5" customHeight="1" spans="1:18">
      <c r="A869" s="347" t="s">
        <v>793</v>
      </c>
      <c r="B869" s="348"/>
      <c r="C869" s="348"/>
      <c r="D869" s="349"/>
      <c r="E869" s="348"/>
      <c r="F869" s="345"/>
      <c r="G869" s="346"/>
      <c r="H869" s="348">
        <v>1089.99</v>
      </c>
      <c r="I869" s="345"/>
      <c r="J869" s="349"/>
      <c r="K869" s="325"/>
      <c r="L869" s="325">
        <f t="shared" si="63"/>
        <v>1089.99</v>
      </c>
      <c r="O869" s="325"/>
      <c r="P869" s="363"/>
      <c r="Q869" s="363"/>
      <c r="R869" s="364"/>
    </row>
    <row r="870" ht="16.5" hidden="1" customHeight="1" spans="1:18">
      <c r="A870" s="347" t="s">
        <v>794</v>
      </c>
      <c r="B870" s="348"/>
      <c r="C870" s="348"/>
      <c r="D870" s="349"/>
      <c r="E870" s="348"/>
      <c r="F870" s="345"/>
      <c r="G870" s="346"/>
      <c r="H870" s="348">
        <v>0</v>
      </c>
      <c r="I870" s="345"/>
      <c r="J870" s="349"/>
      <c r="K870" s="325"/>
      <c r="L870" s="325">
        <f t="shared" si="63"/>
        <v>0</v>
      </c>
      <c r="O870" s="325"/>
      <c r="P870" s="363"/>
      <c r="Q870" s="363"/>
      <c r="R870" s="364"/>
    </row>
    <row r="871" ht="16.5" hidden="1" customHeight="1" spans="1:18">
      <c r="A871" s="347" t="s">
        <v>795</v>
      </c>
      <c r="B871" s="348"/>
      <c r="C871" s="348"/>
      <c r="D871" s="349"/>
      <c r="E871" s="348"/>
      <c r="F871" s="345"/>
      <c r="G871" s="346"/>
      <c r="H871" s="348">
        <v>0</v>
      </c>
      <c r="I871" s="345"/>
      <c r="J871" s="349"/>
      <c r="K871" s="325"/>
      <c r="L871" s="325">
        <f t="shared" si="63"/>
        <v>0</v>
      </c>
      <c r="O871" s="325"/>
      <c r="P871" s="363"/>
      <c r="Q871" s="363"/>
      <c r="R871" s="364"/>
    </row>
    <row r="872" s="326" customFormat="1" ht="16.5" hidden="1" customHeight="1" spans="1:18">
      <c r="A872" s="347" t="s">
        <v>796</v>
      </c>
      <c r="B872" s="348"/>
      <c r="C872" s="348"/>
      <c r="D872" s="349"/>
      <c r="E872" s="348"/>
      <c r="F872" s="345">
        <f>C872-E872</f>
        <v>0</v>
      </c>
      <c r="G872" s="346"/>
      <c r="H872" s="348">
        <f>SUM(H873:H874)</f>
        <v>0</v>
      </c>
      <c r="I872" s="345">
        <f>H872-B872</f>
        <v>0</v>
      </c>
      <c r="J872" s="349"/>
      <c r="K872" s="325"/>
      <c r="L872" s="325">
        <f t="shared" si="63"/>
        <v>0</v>
      </c>
      <c r="O872" s="325"/>
      <c r="P872" s="363"/>
      <c r="Q872" s="363"/>
      <c r="R872" s="364"/>
    </row>
    <row r="873" ht="16.5" hidden="1" customHeight="1" spans="1:18">
      <c r="A873" s="347" t="s">
        <v>797</v>
      </c>
      <c r="B873" s="348"/>
      <c r="C873" s="348"/>
      <c r="D873" s="349"/>
      <c r="E873" s="348"/>
      <c r="F873" s="345"/>
      <c r="G873" s="346"/>
      <c r="H873" s="348"/>
      <c r="I873" s="345"/>
      <c r="J873" s="349"/>
      <c r="K873" s="325"/>
      <c r="L873" s="325">
        <f t="shared" si="63"/>
        <v>0</v>
      </c>
      <c r="O873" s="325"/>
      <c r="P873" s="363"/>
      <c r="Q873" s="363"/>
      <c r="R873" s="364"/>
    </row>
    <row r="874" ht="16.5" hidden="1" customHeight="1" spans="1:18">
      <c r="A874" s="347" t="s">
        <v>798</v>
      </c>
      <c r="B874" s="348"/>
      <c r="C874" s="348"/>
      <c r="D874" s="349"/>
      <c r="E874" s="348"/>
      <c r="F874" s="345"/>
      <c r="G874" s="346"/>
      <c r="H874" s="348"/>
      <c r="I874" s="345"/>
      <c r="J874" s="349"/>
      <c r="K874" s="325"/>
      <c r="L874" s="325">
        <f t="shared" si="63"/>
        <v>0</v>
      </c>
      <c r="O874" s="325"/>
      <c r="P874" s="363"/>
      <c r="Q874" s="363"/>
      <c r="R874" s="364"/>
    </row>
    <row r="875" s="326" customFormat="1" ht="16.5" customHeight="1" spans="1:18">
      <c r="A875" s="347" t="s">
        <v>799</v>
      </c>
      <c r="B875" s="348">
        <v>100</v>
      </c>
      <c r="C875" s="348">
        <v>247</v>
      </c>
      <c r="D875" s="349">
        <f t="shared" ref="D875:D879" si="64">C875/B875*100</f>
        <v>247</v>
      </c>
      <c r="E875" s="348"/>
      <c r="F875" s="345">
        <f t="shared" ref="F875:F879" si="65">C875-E875</f>
        <v>247</v>
      </c>
      <c r="G875" s="346"/>
      <c r="H875" s="348">
        <f>SUM(H876:H877)</f>
        <v>13143</v>
      </c>
      <c r="I875" s="345">
        <f t="shared" ref="I875:I879" si="66">H875-B875</f>
        <v>13043</v>
      </c>
      <c r="J875" s="349">
        <f t="shared" ref="J875:J879" si="67">I875/B875*100</f>
        <v>13043</v>
      </c>
      <c r="K875" s="325"/>
      <c r="L875" s="325">
        <f t="shared" si="63"/>
        <v>13390</v>
      </c>
      <c r="O875" s="325"/>
      <c r="P875" s="363"/>
      <c r="Q875" s="363"/>
      <c r="R875" s="364"/>
    </row>
    <row r="876" s="326" customFormat="1" ht="16.5" hidden="1" customHeight="1" spans="1:16383">
      <c r="A876" s="347" t="s">
        <v>800</v>
      </c>
      <c r="B876" s="348"/>
      <c r="C876" s="348"/>
      <c r="D876" s="349"/>
      <c r="E876" s="348"/>
      <c r="F876" s="345"/>
      <c r="G876" s="346"/>
      <c r="H876" s="348">
        <v>0</v>
      </c>
      <c r="I876" s="345"/>
      <c r="J876" s="349"/>
      <c r="K876" s="325"/>
      <c r="L876" s="325">
        <f t="shared" si="63"/>
        <v>0</v>
      </c>
      <c r="O876" s="325"/>
      <c r="P876" s="363"/>
      <c r="Q876" s="363"/>
      <c r="R876" s="364"/>
      <c r="XFB876" s="332"/>
      <c r="XFC876" s="332"/>
    </row>
    <row r="877" s="326" customFormat="1" ht="16.5" customHeight="1" spans="1:16383">
      <c r="A877" s="347" t="s">
        <v>801</v>
      </c>
      <c r="B877" s="348"/>
      <c r="C877" s="348"/>
      <c r="D877" s="349"/>
      <c r="E877" s="348"/>
      <c r="F877" s="345"/>
      <c r="G877" s="346"/>
      <c r="H877" s="348">
        <v>13143</v>
      </c>
      <c r="I877" s="345"/>
      <c r="J877" s="349"/>
      <c r="K877" s="325"/>
      <c r="L877" s="325">
        <f t="shared" si="63"/>
        <v>13143</v>
      </c>
      <c r="O877" s="325"/>
      <c r="P877" s="363"/>
      <c r="Q877" s="363"/>
      <c r="R877" s="364"/>
      <c r="XFB877" s="332"/>
      <c r="XFC877" s="332"/>
    </row>
    <row r="878" s="325" customFormat="1" ht="16.5" customHeight="1" spans="1:18">
      <c r="A878" s="344" t="s">
        <v>802</v>
      </c>
      <c r="B878" s="345">
        <f>B879+B900+B910+B920+B927</f>
        <v>8558</v>
      </c>
      <c r="C878" s="345">
        <f>C879+C900+C910+C920+C927</f>
        <v>7471</v>
      </c>
      <c r="D878" s="349">
        <f t="shared" si="64"/>
        <v>87.2984342136013</v>
      </c>
      <c r="E878" s="345">
        <f>E879+E900+E910+E920+E927</f>
        <v>24948</v>
      </c>
      <c r="F878" s="345">
        <f t="shared" si="65"/>
        <v>-17477</v>
      </c>
      <c r="G878" s="346">
        <f t="shared" ref="G875:G879" si="68">F878/E878*100</f>
        <v>-70.0537117203784</v>
      </c>
      <c r="H878" s="345">
        <f>H879+H900+H910+H920+H927</f>
        <v>27351.583908</v>
      </c>
      <c r="I878" s="345">
        <f t="shared" si="66"/>
        <v>18793.583908</v>
      </c>
      <c r="J878" s="349">
        <f t="shared" si="67"/>
        <v>219.602522879177</v>
      </c>
      <c r="L878" s="325">
        <f t="shared" si="63"/>
        <v>34822.583908</v>
      </c>
      <c r="P878" s="362"/>
      <c r="Q878" s="362"/>
      <c r="R878" s="364"/>
    </row>
    <row r="879" s="326" customFormat="1" ht="16.5" customHeight="1" spans="1:18">
      <c r="A879" s="347" t="s">
        <v>803</v>
      </c>
      <c r="B879" s="348">
        <v>7403</v>
      </c>
      <c r="C879" s="348">
        <v>5468</v>
      </c>
      <c r="D879" s="349">
        <f t="shared" si="64"/>
        <v>73.8619478589761</v>
      </c>
      <c r="E879" s="348">
        <v>19683</v>
      </c>
      <c r="F879" s="345">
        <f t="shared" si="65"/>
        <v>-14215</v>
      </c>
      <c r="G879" s="346">
        <f t="shared" si="68"/>
        <v>-72.219681959051</v>
      </c>
      <c r="H879" s="348">
        <f>SUM(H880:H899)</f>
        <v>26845.21548</v>
      </c>
      <c r="I879" s="345">
        <f t="shared" si="66"/>
        <v>19442.21548</v>
      </c>
      <c r="J879" s="349">
        <f t="shared" si="67"/>
        <v>262.626171552073</v>
      </c>
      <c r="K879" s="325"/>
      <c r="L879" s="325">
        <f t="shared" si="63"/>
        <v>32313.21548</v>
      </c>
      <c r="O879" s="325"/>
      <c r="P879" s="363"/>
      <c r="Q879" s="363"/>
      <c r="R879" s="364"/>
    </row>
    <row r="880" ht="16.5" customHeight="1" spans="1:18">
      <c r="A880" s="365" t="s">
        <v>155</v>
      </c>
      <c r="B880" s="348"/>
      <c r="C880" s="348"/>
      <c r="D880" s="349"/>
      <c r="E880" s="348"/>
      <c r="F880" s="345"/>
      <c r="G880" s="346"/>
      <c r="H880" s="348">
        <v>425.4341</v>
      </c>
      <c r="I880" s="345"/>
      <c r="J880" s="349"/>
      <c r="K880" s="325"/>
      <c r="L880" s="325">
        <f t="shared" si="63"/>
        <v>425.4341</v>
      </c>
      <c r="O880" s="325"/>
      <c r="P880" s="363"/>
      <c r="Q880" s="363"/>
      <c r="R880" s="364"/>
    </row>
    <row r="881" ht="16.5" hidden="1" customHeight="1" spans="1:18">
      <c r="A881" s="347" t="s">
        <v>156</v>
      </c>
      <c r="B881" s="348"/>
      <c r="C881" s="348"/>
      <c r="D881" s="349"/>
      <c r="E881" s="348"/>
      <c r="F881" s="345"/>
      <c r="G881" s="346"/>
      <c r="H881" s="348">
        <v>0</v>
      </c>
      <c r="I881" s="345"/>
      <c r="J881" s="349"/>
      <c r="K881" s="325"/>
      <c r="L881" s="325">
        <f t="shared" si="63"/>
        <v>0</v>
      </c>
      <c r="O881" s="325"/>
      <c r="P881" s="363"/>
      <c r="Q881" s="363"/>
      <c r="R881" s="364"/>
    </row>
    <row r="882" ht="16.5" hidden="1" customHeight="1" spans="1:18">
      <c r="A882" s="365" t="s">
        <v>157</v>
      </c>
      <c r="B882" s="348"/>
      <c r="C882" s="348"/>
      <c r="D882" s="349"/>
      <c r="E882" s="348"/>
      <c r="F882" s="345"/>
      <c r="G882" s="346"/>
      <c r="H882" s="348">
        <v>0</v>
      </c>
      <c r="I882" s="345"/>
      <c r="J882" s="349"/>
      <c r="K882" s="325"/>
      <c r="L882" s="325">
        <f t="shared" si="63"/>
        <v>0</v>
      </c>
      <c r="O882" s="325"/>
      <c r="P882" s="363"/>
      <c r="Q882" s="363"/>
      <c r="R882" s="364"/>
    </row>
    <row r="883" ht="16.5" customHeight="1" spans="1:18">
      <c r="A883" s="365" t="s">
        <v>804</v>
      </c>
      <c r="B883" s="348"/>
      <c r="C883" s="348"/>
      <c r="D883" s="349"/>
      <c r="E883" s="348"/>
      <c r="F883" s="345"/>
      <c r="G883" s="346"/>
      <c r="H883" s="348">
        <v>20763.43</v>
      </c>
      <c r="I883" s="345"/>
      <c r="J883" s="349"/>
      <c r="K883" s="325"/>
      <c r="L883" s="325">
        <f t="shared" si="63"/>
        <v>20763.43</v>
      </c>
      <c r="O883" s="325"/>
      <c r="P883" s="363"/>
      <c r="Q883" s="363"/>
      <c r="R883" s="364"/>
    </row>
    <row r="884" ht="16.5" customHeight="1" spans="1:18">
      <c r="A884" s="365" t="s">
        <v>805</v>
      </c>
      <c r="B884" s="348"/>
      <c r="C884" s="348"/>
      <c r="D884" s="349"/>
      <c r="E884" s="348"/>
      <c r="F884" s="345"/>
      <c r="G884" s="346"/>
      <c r="H884" s="348">
        <v>2579.135788</v>
      </c>
      <c r="I884" s="345"/>
      <c r="J884" s="349"/>
      <c r="K884" s="325"/>
      <c r="L884" s="325">
        <f t="shared" si="63"/>
        <v>2579.135788</v>
      </c>
      <c r="O884" s="325"/>
      <c r="P884" s="363"/>
      <c r="Q884" s="363"/>
      <c r="R884" s="364"/>
    </row>
    <row r="885" ht="16.5" hidden="1" customHeight="1" spans="1:18">
      <c r="A885" s="365" t="s">
        <v>806</v>
      </c>
      <c r="B885" s="348"/>
      <c r="C885" s="348"/>
      <c r="D885" s="349"/>
      <c r="E885" s="348"/>
      <c r="F885" s="345"/>
      <c r="G885" s="346"/>
      <c r="H885" s="348">
        <v>0</v>
      </c>
      <c r="I885" s="345"/>
      <c r="J885" s="349"/>
      <c r="K885" s="325"/>
      <c r="L885" s="325">
        <f t="shared" si="63"/>
        <v>0</v>
      </c>
      <c r="O885" s="325"/>
      <c r="P885" s="363"/>
      <c r="Q885" s="363"/>
      <c r="R885" s="364"/>
    </row>
    <row r="886" ht="16.5" hidden="1" customHeight="1" spans="1:18">
      <c r="A886" s="365" t="s">
        <v>807</v>
      </c>
      <c r="B886" s="348"/>
      <c r="C886" s="348"/>
      <c r="D886" s="349"/>
      <c r="E886" s="348"/>
      <c r="F886" s="345"/>
      <c r="G886" s="346"/>
      <c r="H886" s="348">
        <v>0</v>
      </c>
      <c r="I886" s="345"/>
      <c r="J886" s="349"/>
      <c r="K886" s="325"/>
      <c r="L886" s="325">
        <f t="shared" si="63"/>
        <v>0</v>
      </c>
      <c r="O886" s="325"/>
      <c r="P886" s="363"/>
      <c r="Q886" s="363"/>
      <c r="R886" s="364"/>
    </row>
    <row r="887" ht="16.5" customHeight="1" spans="1:18">
      <c r="A887" s="365" t="s">
        <v>808</v>
      </c>
      <c r="B887" s="348"/>
      <c r="C887" s="348"/>
      <c r="D887" s="349"/>
      <c r="E887" s="348"/>
      <c r="F887" s="345"/>
      <c r="G887" s="346"/>
      <c r="H887" s="348">
        <v>878.173548</v>
      </c>
      <c r="I887" s="345"/>
      <c r="J887" s="349"/>
      <c r="K887" s="325"/>
      <c r="L887" s="325">
        <f t="shared" si="63"/>
        <v>878.173548</v>
      </c>
      <c r="O887" s="325"/>
      <c r="P887" s="363"/>
      <c r="Q887" s="363"/>
      <c r="R887" s="364"/>
    </row>
    <row r="888" ht="16.5" hidden="1" customHeight="1" spans="1:18">
      <c r="A888" s="365" t="s">
        <v>809</v>
      </c>
      <c r="B888" s="348"/>
      <c r="C888" s="348"/>
      <c r="D888" s="349"/>
      <c r="E888" s="348"/>
      <c r="F888" s="345"/>
      <c r="G888" s="346"/>
      <c r="H888" s="348">
        <v>0</v>
      </c>
      <c r="I888" s="345"/>
      <c r="J888" s="349"/>
      <c r="K888" s="325"/>
      <c r="L888" s="325">
        <f t="shared" si="63"/>
        <v>0</v>
      </c>
      <c r="O888" s="325"/>
      <c r="P888" s="363"/>
      <c r="Q888" s="363"/>
      <c r="R888" s="364"/>
    </row>
    <row r="889" ht="16.5" hidden="1" customHeight="1" spans="1:18">
      <c r="A889" s="365" t="s">
        <v>810</v>
      </c>
      <c r="B889" s="348"/>
      <c r="C889" s="348"/>
      <c r="D889" s="349"/>
      <c r="E889" s="348"/>
      <c r="F889" s="345"/>
      <c r="G889" s="346"/>
      <c r="H889" s="348">
        <v>0</v>
      </c>
      <c r="I889" s="345"/>
      <c r="J889" s="349"/>
      <c r="K889" s="325"/>
      <c r="L889" s="325">
        <f t="shared" si="63"/>
        <v>0</v>
      </c>
      <c r="O889" s="325"/>
      <c r="P889" s="363"/>
      <c r="Q889" s="363"/>
      <c r="R889" s="364"/>
    </row>
    <row r="890" ht="16.5" hidden="1" customHeight="1" spans="1:18">
      <c r="A890" s="365" t="s">
        <v>811</v>
      </c>
      <c r="B890" s="348"/>
      <c r="C890" s="348"/>
      <c r="D890" s="349"/>
      <c r="E890" s="348"/>
      <c r="F890" s="345"/>
      <c r="G890" s="346"/>
      <c r="H890" s="348">
        <v>0</v>
      </c>
      <c r="I890" s="345"/>
      <c r="J890" s="349"/>
      <c r="K890" s="325"/>
      <c r="L890" s="325">
        <f t="shared" si="63"/>
        <v>0</v>
      </c>
      <c r="O890" s="325"/>
      <c r="P890" s="363"/>
      <c r="Q890" s="363"/>
      <c r="R890" s="364"/>
    </row>
    <row r="891" ht="16.5" hidden="1" customHeight="1" spans="1:18">
      <c r="A891" s="365" t="s">
        <v>812</v>
      </c>
      <c r="B891" s="348"/>
      <c r="C891" s="348"/>
      <c r="D891" s="349"/>
      <c r="E891" s="348"/>
      <c r="F891" s="345"/>
      <c r="G891" s="346"/>
      <c r="H891" s="348">
        <v>0</v>
      </c>
      <c r="I891" s="345"/>
      <c r="J891" s="349"/>
      <c r="K891" s="325"/>
      <c r="L891" s="325">
        <f t="shared" si="63"/>
        <v>0</v>
      </c>
      <c r="O891" s="325"/>
      <c r="P891" s="363"/>
      <c r="Q891" s="363"/>
      <c r="R891" s="364"/>
    </row>
    <row r="892" ht="16.5" hidden="1" customHeight="1" spans="1:18">
      <c r="A892" s="365" t="s">
        <v>813</v>
      </c>
      <c r="B892" s="348"/>
      <c r="C892" s="348"/>
      <c r="D892" s="349"/>
      <c r="E892" s="348"/>
      <c r="F892" s="345"/>
      <c r="G892" s="346"/>
      <c r="H892" s="348">
        <v>0</v>
      </c>
      <c r="I892" s="345"/>
      <c r="J892" s="349"/>
      <c r="K892" s="325"/>
      <c r="L892" s="325">
        <f t="shared" si="63"/>
        <v>0</v>
      </c>
      <c r="O892" s="325"/>
      <c r="P892" s="363"/>
      <c r="Q892" s="363"/>
      <c r="R892" s="364"/>
    </row>
    <row r="893" ht="16.5" hidden="1" customHeight="1" spans="1:18">
      <c r="A893" s="365" t="s">
        <v>814</v>
      </c>
      <c r="B893" s="348"/>
      <c r="C893" s="348"/>
      <c r="D893" s="349"/>
      <c r="E893" s="348"/>
      <c r="F893" s="345"/>
      <c r="G893" s="346"/>
      <c r="H893" s="348">
        <v>0</v>
      </c>
      <c r="I893" s="345"/>
      <c r="J893" s="349"/>
      <c r="K893" s="325"/>
      <c r="L893" s="325">
        <f t="shared" si="63"/>
        <v>0</v>
      </c>
      <c r="O893" s="325"/>
      <c r="P893" s="363"/>
      <c r="Q893" s="363"/>
      <c r="R893" s="364"/>
    </row>
    <row r="894" ht="16.5" hidden="1" customHeight="1" spans="1:18">
      <c r="A894" s="365" t="s">
        <v>815</v>
      </c>
      <c r="B894" s="348"/>
      <c r="C894" s="348"/>
      <c r="D894" s="349"/>
      <c r="E894" s="348"/>
      <c r="F894" s="345"/>
      <c r="G894" s="346"/>
      <c r="H894" s="348">
        <v>0</v>
      </c>
      <c r="I894" s="345"/>
      <c r="J894" s="349"/>
      <c r="K894" s="325"/>
      <c r="L894" s="325">
        <f t="shared" si="63"/>
        <v>0</v>
      </c>
      <c r="O894" s="325"/>
      <c r="P894" s="363"/>
      <c r="Q894" s="363"/>
      <c r="R894" s="364"/>
    </row>
    <row r="895" ht="16.5" hidden="1" customHeight="1" spans="1:18">
      <c r="A895" s="365" t="s">
        <v>816</v>
      </c>
      <c r="B895" s="348"/>
      <c r="C895" s="348"/>
      <c r="D895" s="349"/>
      <c r="E895" s="348"/>
      <c r="F895" s="345"/>
      <c r="G895" s="346"/>
      <c r="H895" s="348">
        <v>0</v>
      </c>
      <c r="I895" s="345"/>
      <c r="J895" s="349"/>
      <c r="K895" s="325"/>
      <c r="L895" s="325">
        <f t="shared" si="63"/>
        <v>0</v>
      </c>
      <c r="O895" s="325"/>
      <c r="P895" s="363"/>
      <c r="Q895" s="363"/>
      <c r="R895" s="364"/>
    </row>
    <row r="896" ht="16.5" hidden="1" customHeight="1" spans="1:18">
      <c r="A896" s="365" t="s">
        <v>817</v>
      </c>
      <c r="B896" s="348"/>
      <c r="C896" s="348"/>
      <c r="D896" s="349"/>
      <c r="E896" s="348"/>
      <c r="F896" s="345"/>
      <c r="G896" s="346"/>
      <c r="H896" s="348">
        <v>0</v>
      </c>
      <c r="I896" s="345"/>
      <c r="J896" s="349"/>
      <c r="K896" s="325"/>
      <c r="L896" s="325">
        <f t="shared" si="63"/>
        <v>0</v>
      </c>
      <c r="O896" s="325"/>
      <c r="P896" s="363"/>
      <c r="Q896" s="363"/>
      <c r="R896" s="364"/>
    </row>
    <row r="897" ht="16.5" customHeight="1" spans="1:18">
      <c r="A897" s="347" t="s">
        <v>818</v>
      </c>
      <c r="B897" s="348"/>
      <c r="C897" s="348"/>
      <c r="D897" s="349"/>
      <c r="E897" s="348"/>
      <c r="F897" s="345"/>
      <c r="G897" s="346"/>
      <c r="H897" s="348">
        <v>219.318092</v>
      </c>
      <c r="I897" s="345"/>
      <c r="J897" s="349"/>
      <c r="K897" s="325"/>
      <c r="L897" s="325">
        <f t="shared" si="63"/>
        <v>219.318092</v>
      </c>
      <c r="O897" s="325"/>
      <c r="P897" s="363"/>
      <c r="Q897" s="363"/>
      <c r="R897" s="364"/>
    </row>
    <row r="898" ht="16.5" hidden="1" customHeight="1" spans="1:18">
      <c r="A898" s="347" t="s">
        <v>819</v>
      </c>
      <c r="B898" s="348"/>
      <c r="C898" s="348"/>
      <c r="D898" s="349"/>
      <c r="E898" s="348"/>
      <c r="F898" s="345"/>
      <c r="G898" s="346"/>
      <c r="H898" s="348">
        <v>0</v>
      </c>
      <c r="I898" s="345"/>
      <c r="J898" s="349"/>
      <c r="K898" s="325"/>
      <c r="L898" s="325">
        <f t="shared" si="63"/>
        <v>0</v>
      </c>
      <c r="O898" s="325"/>
      <c r="P898" s="363"/>
      <c r="Q898" s="363"/>
      <c r="R898" s="364"/>
    </row>
    <row r="899" ht="16.5" customHeight="1" spans="1:18">
      <c r="A899" s="347" t="s">
        <v>820</v>
      </c>
      <c r="B899" s="348"/>
      <c r="C899" s="348"/>
      <c r="D899" s="349"/>
      <c r="E899" s="348"/>
      <c r="F899" s="345"/>
      <c r="G899" s="346"/>
      <c r="H899" s="348">
        <v>1979.723952</v>
      </c>
      <c r="I899" s="345"/>
      <c r="J899" s="349"/>
      <c r="K899" s="325"/>
      <c r="L899" s="325">
        <f t="shared" si="63"/>
        <v>1979.723952</v>
      </c>
      <c r="O899" s="325"/>
      <c r="P899" s="363"/>
      <c r="Q899" s="363"/>
      <c r="R899" s="364"/>
    </row>
    <row r="900" s="326" customFormat="1" ht="16.5" customHeight="1" spans="1:18">
      <c r="A900" s="347" t="s">
        <v>821</v>
      </c>
      <c r="B900" s="348">
        <v>85</v>
      </c>
      <c r="C900" s="348">
        <v>426</v>
      </c>
      <c r="D900" s="349">
        <f>C900/B900*100</f>
        <v>501.176470588235</v>
      </c>
      <c r="E900" s="348">
        <v>784</v>
      </c>
      <c r="F900" s="345">
        <f>C900-E900</f>
        <v>-358</v>
      </c>
      <c r="G900" s="346"/>
      <c r="H900" s="348">
        <f>SUM(H901:H909)</f>
        <v>0</v>
      </c>
      <c r="I900" s="345">
        <f>H900-B900</f>
        <v>-85</v>
      </c>
      <c r="J900" s="349">
        <f>I900/B900*100</f>
        <v>-100</v>
      </c>
      <c r="K900" s="325"/>
      <c r="L900" s="325">
        <f t="shared" si="63"/>
        <v>426</v>
      </c>
      <c r="O900" s="325"/>
      <c r="P900" s="363"/>
      <c r="Q900" s="363"/>
      <c r="R900" s="364"/>
    </row>
    <row r="901" ht="16.5" hidden="1" customHeight="1" spans="1:18">
      <c r="A901" s="365" t="s">
        <v>155</v>
      </c>
      <c r="B901" s="348"/>
      <c r="C901" s="348"/>
      <c r="D901" s="349"/>
      <c r="E901" s="348"/>
      <c r="F901" s="345"/>
      <c r="G901" s="346"/>
      <c r="H901" s="348"/>
      <c r="I901" s="345"/>
      <c r="J901" s="349"/>
      <c r="K901" s="325"/>
      <c r="L901" s="325">
        <f t="shared" si="63"/>
        <v>0</v>
      </c>
      <c r="O901" s="325"/>
      <c r="P901" s="363"/>
      <c r="Q901" s="363"/>
      <c r="R901" s="364"/>
    </row>
    <row r="902" ht="16.5" hidden="1" customHeight="1" spans="1:18">
      <c r="A902" s="347" t="s">
        <v>156</v>
      </c>
      <c r="B902" s="348"/>
      <c r="C902" s="348"/>
      <c r="D902" s="349"/>
      <c r="E902" s="348"/>
      <c r="F902" s="345"/>
      <c r="G902" s="346"/>
      <c r="H902" s="348"/>
      <c r="I902" s="345"/>
      <c r="J902" s="349"/>
      <c r="K902" s="325"/>
      <c r="L902" s="325">
        <f t="shared" si="63"/>
        <v>0</v>
      </c>
      <c r="O902" s="325"/>
      <c r="P902" s="363"/>
      <c r="Q902" s="363"/>
      <c r="R902" s="364"/>
    </row>
    <row r="903" ht="16.5" hidden="1" customHeight="1" spans="1:18">
      <c r="A903" s="365" t="s">
        <v>157</v>
      </c>
      <c r="B903" s="348"/>
      <c r="C903" s="348"/>
      <c r="D903" s="349"/>
      <c r="E903" s="348"/>
      <c r="F903" s="345"/>
      <c r="G903" s="346"/>
      <c r="H903" s="348"/>
      <c r="I903" s="345"/>
      <c r="J903" s="349"/>
      <c r="K903" s="325"/>
      <c r="L903" s="325">
        <f t="shared" si="63"/>
        <v>0</v>
      </c>
      <c r="O903" s="325"/>
      <c r="P903" s="363"/>
      <c r="Q903" s="363"/>
      <c r="R903" s="364"/>
    </row>
    <row r="904" ht="16.5" hidden="1" customHeight="1" spans="1:18">
      <c r="A904" s="347" t="s">
        <v>822</v>
      </c>
      <c r="B904" s="348"/>
      <c r="C904" s="348"/>
      <c r="D904" s="349"/>
      <c r="E904" s="348"/>
      <c r="F904" s="345"/>
      <c r="G904" s="346"/>
      <c r="H904" s="348"/>
      <c r="I904" s="345"/>
      <c r="J904" s="349"/>
      <c r="K904" s="325"/>
      <c r="L904" s="325">
        <f t="shared" ref="L904:L967" si="69">C904+H904</f>
        <v>0</v>
      </c>
      <c r="O904" s="325"/>
      <c r="P904" s="363"/>
      <c r="Q904" s="363"/>
      <c r="R904" s="364"/>
    </row>
    <row r="905" ht="16.5" hidden="1" customHeight="1" spans="1:18">
      <c r="A905" s="347" t="s">
        <v>823</v>
      </c>
      <c r="B905" s="348"/>
      <c r="C905" s="348"/>
      <c r="D905" s="349"/>
      <c r="E905" s="348"/>
      <c r="F905" s="345"/>
      <c r="G905" s="346"/>
      <c r="H905" s="348"/>
      <c r="I905" s="345"/>
      <c r="J905" s="349"/>
      <c r="K905" s="325"/>
      <c r="L905" s="325">
        <f t="shared" si="69"/>
        <v>0</v>
      </c>
      <c r="O905" s="325"/>
      <c r="P905" s="363"/>
      <c r="Q905" s="363"/>
      <c r="R905" s="364"/>
    </row>
    <row r="906" ht="16.5" hidden="1" customHeight="1" spans="1:18">
      <c r="A906" s="347" t="s">
        <v>824</v>
      </c>
      <c r="B906" s="348"/>
      <c r="C906" s="348"/>
      <c r="D906" s="349"/>
      <c r="E906" s="348"/>
      <c r="F906" s="345"/>
      <c r="G906" s="346"/>
      <c r="H906" s="348"/>
      <c r="I906" s="345"/>
      <c r="J906" s="349"/>
      <c r="K906" s="325"/>
      <c r="L906" s="325">
        <f t="shared" si="69"/>
        <v>0</v>
      </c>
      <c r="O906" s="325"/>
      <c r="P906" s="363"/>
      <c r="Q906" s="363"/>
      <c r="R906" s="364"/>
    </row>
    <row r="907" ht="16.5" hidden="1" customHeight="1" spans="1:18">
      <c r="A907" s="347" t="s">
        <v>825</v>
      </c>
      <c r="B907" s="348"/>
      <c r="C907" s="348"/>
      <c r="D907" s="349"/>
      <c r="E907" s="348"/>
      <c r="F907" s="345"/>
      <c r="G907" s="346"/>
      <c r="H907" s="348"/>
      <c r="I907" s="345"/>
      <c r="J907" s="349"/>
      <c r="K907" s="325"/>
      <c r="L907" s="325">
        <f t="shared" si="69"/>
        <v>0</v>
      </c>
      <c r="O907" s="325"/>
      <c r="P907" s="363"/>
      <c r="Q907" s="363"/>
      <c r="R907" s="364"/>
    </row>
    <row r="908" ht="16.5" hidden="1" customHeight="1" spans="1:18">
      <c r="A908" s="347" t="s">
        <v>826</v>
      </c>
      <c r="B908" s="348"/>
      <c r="C908" s="348"/>
      <c r="D908" s="349"/>
      <c r="E908" s="348"/>
      <c r="F908" s="345"/>
      <c r="G908" s="346"/>
      <c r="H908" s="348"/>
      <c r="I908" s="345"/>
      <c r="J908" s="349"/>
      <c r="K908" s="325"/>
      <c r="L908" s="325">
        <f t="shared" si="69"/>
        <v>0</v>
      </c>
      <c r="O908" s="325"/>
      <c r="P908" s="363"/>
      <c r="Q908" s="363"/>
      <c r="R908" s="364"/>
    </row>
    <row r="909" ht="16.5" hidden="1" customHeight="1" spans="1:18">
      <c r="A909" s="347" t="s">
        <v>827</v>
      </c>
      <c r="B909" s="348"/>
      <c r="C909" s="348"/>
      <c r="D909" s="349"/>
      <c r="E909" s="348"/>
      <c r="F909" s="345"/>
      <c r="G909" s="346"/>
      <c r="H909" s="348"/>
      <c r="I909" s="345"/>
      <c r="J909" s="349"/>
      <c r="K909" s="325"/>
      <c r="L909" s="325">
        <f t="shared" si="69"/>
        <v>0</v>
      </c>
      <c r="O909" s="325"/>
      <c r="P909" s="363"/>
      <c r="Q909" s="363"/>
      <c r="R909" s="364"/>
    </row>
    <row r="910" s="326" customFormat="1" ht="16.5" customHeight="1" spans="1:18">
      <c r="A910" s="347" t="s">
        <v>828</v>
      </c>
      <c r="B910" s="348">
        <v>200</v>
      </c>
      <c r="C910" s="348">
        <v>200</v>
      </c>
      <c r="D910" s="349">
        <f>C910/B910*100</f>
        <v>100</v>
      </c>
      <c r="E910" s="348">
        <v>2725</v>
      </c>
      <c r="F910" s="345">
        <f>C910-E910</f>
        <v>-2525</v>
      </c>
      <c r="G910" s="346">
        <f>F910/E910*100</f>
        <v>-92.6605504587156</v>
      </c>
      <c r="H910" s="348">
        <f>SUM(H911:H919)</f>
        <v>0</v>
      </c>
      <c r="I910" s="345">
        <f>H910-B910</f>
        <v>-200</v>
      </c>
      <c r="J910" s="349">
        <f>I910/B910*100</f>
        <v>-100</v>
      </c>
      <c r="K910" s="325"/>
      <c r="L910" s="325">
        <f t="shared" si="69"/>
        <v>200</v>
      </c>
      <c r="O910" s="325"/>
      <c r="P910" s="363"/>
      <c r="Q910" s="363"/>
      <c r="R910" s="364"/>
    </row>
    <row r="911" ht="16.5" hidden="1" customHeight="1" spans="1:18">
      <c r="A911" s="365" t="s">
        <v>155</v>
      </c>
      <c r="B911" s="348"/>
      <c r="C911" s="348"/>
      <c r="D911" s="349"/>
      <c r="E911" s="348"/>
      <c r="F911" s="345"/>
      <c r="G911" s="346"/>
      <c r="H911" s="348"/>
      <c r="I911" s="345"/>
      <c r="J911" s="349"/>
      <c r="K911" s="325"/>
      <c r="L911" s="325">
        <f t="shared" si="69"/>
        <v>0</v>
      </c>
      <c r="O911" s="325"/>
      <c r="P911" s="363"/>
      <c r="Q911" s="363"/>
      <c r="R911" s="364"/>
    </row>
    <row r="912" ht="16.5" hidden="1" customHeight="1" spans="1:18">
      <c r="A912" s="347" t="s">
        <v>156</v>
      </c>
      <c r="B912" s="348"/>
      <c r="C912" s="348"/>
      <c r="D912" s="349"/>
      <c r="E912" s="348"/>
      <c r="F912" s="345"/>
      <c r="G912" s="346"/>
      <c r="H912" s="348"/>
      <c r="I912" s="345"/>
      <c r="J912" s="349"/>
      <c r="K912" s="325"/>
      <c r="L912" s="325">
        <f t="shared" si="69"/>
        <v>0</v>
      </c>
      <c r="O912" s="325"/>
      <c r="P912" s="363"/>
      <c r="Q912" s="363"/>
      <c r="R912" s="364"/>
    </row>
    <row r="913" ht="16.5" hidden="1" customHeight="1" spans="1:18">
      <c r="A913" s="365" t="s">
        <v>157</v>
      </c>
      <c r="B913" s="348"/>
      <c r="C913" s="348"/>
      <c r="D913" s="349"/>
      <c r="E913" s="348"/>
      <c r="F913" s="345"/>
      <c r="G913" s="346"/>
      <c r="H913" s="348"/>
      <c r="I913" s="345"/>
      <c r="J913" s="349"/>
      <c r="K913" s="325"/>
      <c r="L913" s="325">
        <f t="shared" si="69"/>
        <v>0</v>
      </c>
      <c r="O913" s="325"/>
      <c r="P913" s="363"/>
      <c r="Q913" s="363"/>
      <c r="R913" s="364"/>
    </row>
    <row r="914" ht="16.5" hidden="1" customHeight="1" spans="1:18">
      <c r="A914" s="347" t="s">
        <v>829</v>
      </c>
      <c r="B914" s="348"/>
      <c r="C914" s="348"/>
      <c r="D914" s="349"/>
      <c r="E914" s="348"/>
      <c r="F914" s="345"/>
      <c r="G914" s="346"/>
      <c r="H914" s="348"/>
      <c r="I914" s="345"/>
      <c r="J914" s="349"/>
      <c r="K914" s="325"/>
      <c r="L914" s="325">
        <f t="shared" si="69"/>
        <v>0</v>
      </c>
      <c r="O914" s="325"/>
      <c r="P914" s="363"/>
      <c r="Q914" s="363"/>
      <c r="R914" s="364"/>
    </row>
    <row r="915" ht="16.5" hidden="1" customHeight="1" spans="1:18">
      <c r="A915" s="347" t="s">
        <v>830</v>
      </c>
      <c r="B915" s="348"/>
      <c r="C915" s="348"/>
      <c r="D915" s="349"/>
      <c r="E915" s="348"/>
      <c r="F915" s="345"/>
      <c r="G915" s="346"/>
      <c r="H915" s="348"/>
      <c r="I915" s="345"/>
      <c r="J915" s="349"/>
      <c r="K915" s="325"/>
      <c r="L915" s="325">
        <f t="shared" si="69"/>
        <v>0</v>
      </c>
      <c r="O915" s="325"/>
      <c r="P915" s="363"/>
      <c r="Q915" s="363"/>
      <c r="R915" s="364"/>
    </row>
    <row r="916" ht="16.5" hidden="1" customHeight="1" spans="1:18">
      <c r="A916" s="347" t="s">
        <v>831</v>
      </c>
      <c r="B916" s="348"/>
      <c r="C916" s="348"/>
      <c r="D916" s="349"/>
      <c r="E916" s="348"/>
      <c r="F916" s="345"/>
      <c r="G916" s="346"/>
      <c r="H916" s="348"/>
      <c r="I916" s="345"/>
      <c r="J916" s="349"/>
      <c r="K916" s="325"/>
      <c r="L916" s="325">
        <f t="shared" si="69"/>
        <v>0</v>
      </c>
      <c r="O916" s="325"/>
      <c r="P916" s="363"/>
      <c r="Q916" s="363"/>
      <c r="R916" s="364"/>
    </row>
    <row r="917" ht="16.5" hidden="1" customHeight="1" spans="1:18">
      <c r="A917" s="347" t="s">
        <v>832</v>
      </c>
      <c r="B917" s="348"/>
      <c r="C917" s="348"/>
      <c r="D917" s="349"/>
      <c r="E917" s="348"/>
      <c r="F917" s="345"/>
      <c r="G917" s="346"/>
      <c r="H917" s="348"/>
      <c r="I917" s="345"/>
      <c r="J917" s="349"/>
      <c r="K917" s="325"/>
      <c r="L917" s="325">
        <f t="shared" si="69"/>
        <v>0</v>
      </c>
      <c r="O917" s="325"/>
      <c r="P917" s="363"/>
      <c r="Q917" s="363"/>
      <c r="R917" s="364"/>
    </row>
    <row r="918" ht="16.5" hidden="1" customHeight="1" spans="1:18">
      <c r="A918" s="347" t="s">
        <v>833</v>
      </c>
      <c r="B918" s="348"/>
      <c r="C918" s="348"/>
      <c r="D918" s="349"/>
      <c r="E918" s="348"/>
      <c r="F918" s="345"/>
      <c r="G918" s="346"/>
      <c r="H918" s="348"/>
      <c r="I918" s="345"/>
      <c r="J918" s="349"/>
      <c r="K918" s="325"/>
      <c r="L918" s="325">
        <f t="shared" si="69"/>
        <v>0</v>
      </c>
      <c r="O918" s="325"/>
      <c r="P918" s="363"/>
      <c r="Q918" s="363"/>
      <c r="R918" s="364"/>
    </row>
    <row r="919" ht="16.5" hidden="1" customHeight="1" spans="1:18">
      <c r="A919" s="347" t="s">
        <v>834</v>
      </c>
      <c r="B919" s="348"/>
      <c r="C919" s="348"/>
      <c r="D919" s="349"/>
      <c r="E919" s="348"/>
      <c r="F919" s="345"/>
      <c r="G919" s="346"/>
      <c r="H919" s="348"/>
      <c r="I919" s="345"/>
      <c r="J919" s="349"/>
      <c r="K919" s="325"/>
      <c r="L919" s="325">
        <f t="shared" si="69"/>
        <v>0</v>
      </c>
      <c r="O919" s="325"/>
      <c r="P919" s="363"/>
      <c r="Q919" s="363"/>
      <c r="R919" s="364"/>
    </row>
    <row r="920" s="326" customFormat="1" ht="16.5" customHeight="1" spans="1:18">
      <c r="A920" s="347" t="s">
        <v>835</v>
      </c>
      <c r="B920" s="348"/>
      <c r="C920" s="348">
        <v>89</v>
      </c>
      <c r="D920" s="349"/>
      <c r="E920" s="348">
        <v>23</v>
      </c>
      <c r="F920" s="345">
        <f>C920-E920</f>
        <v>66</v>
      </c>
      <c r="G920" s="346">
        <f>F920/E920*100</f>
        <v>286.95652173913</v>
      </c>
      <c r="H920" s="348"/>
      <c r="I920" s="345">
        <f>H920-B920</f>
        <v>0</v>
      </c>
      <c r="J920" s="349"/>
      <c r="K920" s="325"/>
      <c r="L920" s="325">
        <f t="shared" si="69"/>
        <v>89</v>
      </c>
      <c r="O920" s="325"/>
      <c r="P920" s="363"/>
      <c r="Q920" s="363"/>
      <c r="R920" s="364"/>
    </row>
    <row r="921" ht="16.5" hidden="1" customHeight="1" spans="1:18">
      <c r="A921" s="365" t="s">
        <v>155</v>
      </c>
      <c r="B921" s="348"/>
      <c r="C921" s="348"/>
      <c r="D921" s="349"/>
      <c r="E921" s="348"/>
      <c r="F921" s="345"/>
      <c r="G921" s="346"/>
      <c r="H921" s="348"/>
      <c r="I921" s="345"/>
      <c r="J921" s="349"/>
      <c r="K921" s="325"/>
      <c r="L921" s="325">
        <f t="shared" si="69"/>
        <v>0</v>
      </c>
      <c r="O921" s="325"/>
      <c r="P921" s="363"/>
      <c r="Q921" s="363"/>
      <c r="R921" s="364"/>
    </row>
    <row r="922" ht="16.5" hidden="1" customHeight="1" spans="1:18">
      <c r="A922" s="347" t="s">
        <v>156</v>
      </c>
      <c r="B922" s="348"/>
      <c r="C922" s="348"/>
      <c r="D922" s="349"/>
      <c r="E922" s="348"/>
      <c r="F922" s="345"/>
      <c r="G922" s="346"/>
      <c r="H922" s="348"/>
      <c r="I922" s="345"/>
      <c r="J922" s="349"/>
      <c r="K922" s="325"/>
      <c r="L922" s="325">
        <f t="shared" si="69"/>
        <v>0</v>
      </c>
      <c r="O922" s="325"/>
      <c r="P922" s="363"/>
      <c r="Q922" s="363"/>
      <c r="R922" s="364"/>
    </row>
    <row r="923" ht="16.5" hidden="1" customHeight="1" spans="1:18">
      <c r="A923" s="365" t="s">
        <v>157</v>
      </c>
      <c r="B923" s="348"/>
      <c r="C923" s="348"/>
      <c r="D923" s="349"/>
      <c r="E923" s="348"/>
      <c r="F923" s="345"/>
      <c r="G923" s="346"/>
      <c r="H923" s="348"/>
      <c r="I923" s="345"/>
      <c r="J923" s="349"/>
      <c r="K923" s="325"/>
      <c r="L923" s="325">
        <f t="shared" si="69"/>
        <v>0</v>
      </c>
      <c r="O923" s="325"/>
      <c r="P923" s="363"/>
      <c r="Q923" s="363"/>
      <c r="R923" s="364"/>
    </row>
    <row r="924" ht="16.5" hidden="1" customHeight="1" spans="1:18">
      <c r="A924" s="347" t="s">
        <v>826</v>
      </c>
      <c r="B924" s="348"/>
      <c r="C924" s="348"/>
      <c r="D924" s="349"/>
      <c r="E924" s="348"/>
      <c r="F924" s="345"/>
      <c r="G924" s="346"/>
      <c r="H924" s="348"/>
      <c r="I924" s="345"/>
      <c r="J924" s="349"/>
      <c r="K924" s="325"/>
      <c r="L924" s="325">
        <f t="shared" si="69"/>
        <v>0</v>
      </c>
      <c r="O924" s="325"/>
      <c r="P924" s="363"/>
      <c r="Q924" s="363"/>
      <c r="R924" s="364"/>
    </row>
    <row r="925" ht="16.5" hidden="1" customHeight="1" spans="1:18">
      <c r="A925" s="347" t="s">
        <v>836</v>
      </c>
      <c r="B925" s="348"/>
      <c r="C925" s="348"/>
      <c r="D925" s="349"/>
      <c r="E925" s="348"/>
      <c r="F925" s="345"/>
      <c r="G925" s="346"/>
      <c r="H925" s="348"/>
      <c r="I925" s="345"/>
      <c r="J925" s="349"/>
      <c r="K925" s="325"/>
      <c r="L925" s="325">
        <f t="shared" si="69"/>
        <v>0</v>
      </c>
      <c r="O925" s="325"/>
      <c r="P925" s="363"/>
      <c r="Q925" s="363"/>
      <c r="R925" s="364"/>
    </row>
    <row r="926" ht="16.5" hidden="1" customHeight="1" spans="1:18">
      <c r="A926" s="347" t="s">
        <v>837</v>
      </c>
      <c r="B926" s="348"/>
      <c r="C926" s="348"/>
      <c r="D926" s="349"/>
      <c r="E926" s="348"/>
      <c r="F926" s="345"/>
      <c r="G926" s="346"/>
      <c r="H926" s="348"/>
      <c r="I926" s="345"/>
      <c r="J926" s="349"/>
      <c r="K926" s="325"/>
      <c r="L926" s="325">
        <f t="shared" si="69"/>
        <v>0</v>
      </c>
      <c r="O926" s="325"/>
      <c r="P926" s="363"/>
      <c r="Q926" s="363"/>
      <c r="R926" s="364"/>
    </row>
    <row r="927" s="326" customFormat="1" ht="16.5" customHeight="1" spans="1:18">
      <c r="A927" s="347" t="s">
        <v>838</v>
      </c>
      <c r="B927" s="348">
        <v>870</v>
      </c>
      <c r="C927" s="348">
        <v>1288</v>
      </c>
      <c r="D927" s="349">
        <f t="shared" ref="D927:D931" si="70">C927/B927*100</f>
        <v>148.045977011494</v>
      </c>
      <c r="E927" s="348">
        <v>1733</v>
      </c>
      <c r="F927" s="345">
        <f t="shared" ref="F927:F931" si="71">C927-E927</f>
        <v>-445</v>
      </c>
      <c r="G927" s="346">
        <f t="shared" ref="G927:G931" si="72">F927/E927*100</f>
        <v>-25.6780150028852</v>
      </c>
      <c r="H927" s="348">
        <f>SUM(H928:H929)</f>
        <v>506.368428</v>
      </c>
      <c r="I927" s="345">
        <f t="shared" ref="I927:I931" si="73">H927-B927</f>
        <v>-363.631572</v>
      </c>
      <c r="J927" s="349">
        <f t="shared" ref="J927:J931" si="74">I927/B927*100</f>
        <v>-41.7967324137931</v>
      </c>
      <c r="K927" s="325"/>
      <c r="L927" s="325">
        <f t="shared" si="69"/>
        <v>1794.368428</v>
      </c>
      <c r="O927" s="325"/>
      <c r="P927" s="363"/>
      <c r="Q927" s="363"/>
      <c r="R927" s="364"/>
    </row>
    <row r="928" s="326" customFormat="1" ht="16.5" customHeight="1" spans="1:16383">
      <c r="A928" s="347" t="s">
        <v>839</v>
      </c>
      <c r="B928" s="348"/>
      <c r="C928" s="348"/>
      <c r="D928" s="349"/>
      <c r="E928" s="348"/>
      <c r="F928" s="345"/>
      <c r="G928" s="346"/>
      <c r="H928" s="348">
        <v>500</v>
      </c>
      <c r="I928" s="345"/>
      <c r="J928" s="349"/>
      <c r="K928" s="325"/>
      <c r="L928" s="325">
        <f t="shared" si="69"/>
        <v>500</v>
      </c>
      <c r="O928" s="325"/>
      <c r="P928" s="363"/>
      <c r="Q928" s="363"/>
      <c r="R928" s="364"/>
      <c r="XFB928" s="332"/>
      <c r="XFC928" s="332"/>
    </row>
    <row r="929" s="326" customFormat="1" ht="16.5" customHeight="1" spans="1:16383">
      <c r="A929" s="347" t="s">
        <v>840</v>
      </c>
      <c r="B929" s="348"/>
      <c r="C929" s="348"/>
      <c r="D929" s="349"/>
      <c r="E929" s="348"/>
      <c r="F929" s="345"/>
      <c r="G929" s="346"/>
      <c r="H929" s="348">
        <v>6.368428</v>
      </c>
      <c r="I929" s="345"/>
      <c r="J929" s="349"/>
      <c r="K929" s="325"/>
      <c r="L929" s="325">
        <f t="shared" si="69"/>
        <v>6.368428</v>
      </c>
      <c r="O929" s="325"/>
      <c r="P929" s="363"/>
      <c r="Q929" s="363"/>
      <c r="R929" s="364"/>
      <c r="XFB929" s="332"/>
      <c r="XFC929" s="332"/>
    </row>
    <row r="930" s="325" customFormat="1" ht="16.5" customHeight="1" spans="1:18">
      <c r="A930" s="344" t="s">
        <v>841</v>
      </c>
      <c r="B930" s="345">
        <f>B931+B941+B957+B962+B973+B979+B987</f>
        <v>24943.6</v>
      </c>
      <c r="C930" s="345">
        <f>C931+C941+C957+C962+C973+C979+C987</f>
        <v>15751</v>
      </c>
      <c r="D930" s="349">
        <f t="shared" si="70"/>
        <v>63.1464584101734</v>
      </c>
      <c r="E930" s="345">
        <f>E931+E941+E957+E962+E973+E979+E987</f>
        <v>131826</v>
      </c>
      <c r="F930" s="345">
        <f t="shared" si="71"/>
        <v>-116075</v>
      </c>
      <c r="G930" s="346">
        <f t="shared" si="72"/>
        <v>-88.0516741765661</v>
      </c>
      <c r="H930" s="345">
        <f>H931+H941+H957+H962+H973+H979+H987</f>
        <v>18761.955783</v>
      </c>
      <c r="I930" s="345">
        <f t="shared" si="73"/>
        <v>-6181.644217</v>
      </c>
      <c r="J930" s="349">
        <f t="shared" si="74"/>
        <v>-24.7824861567697</v>
      </c>
      <c r="L930" s="325">
        <f t="shared" si="69"/>
        <v>34512.955783</v>
      </c>
      <c r="P930" s="362"/>
      <c r="Q930" s="362"/>
      <c r="R930" s="364"/>
    </row>
    <row r="931" s="326" customFormat="1" ht="16.5" customHeight="1" spans="1:18">
      <c r="A931" s="347" t="s">
        <v>842</v>
      </c>
      <c r="B931" s="348">
        <v>181</v>
      </c>
      <c r="C931" s="348">
        <v>177</v>
      </c>
      <c r="D931" s="349">
        <f t="shared" si="70"/>
        <v>97.7900552486188</v>
      </c>
      <c r="E931" s="348">
        <v>179</v>
      </c>
      <c r="F931" s="345">
        <f t="shared" si="71"/>
        <v>-2</v>
      </c>
      <c r="G931" s="346">
        <f t="shared" si="72"/>
        <v>-1.11731843575419</v>
      </c>
      <c r="H931" s="348">
        <f>SUM(H932:H940)</f>
        <v>176.43885</v>
      </c>
      <c r="I931" s="345">
        <f t="shared" si="73"/>
        <v>-4.56115</v>
      </c>
      <c r="J931" s="349">
        <f t="shared" si="74"/>
        <v>-2.51997237569061</v>
      </c>
      <c r="K931" s="325"/>
      <c r="L931" s="325">
        <f t="shared" si="69"/>
        <v>353.43885</v>
      </c>
      <c r="O931" s="325"/>
      <c r="P931" s="363"/>
      <c r="Q931" s="363"/>
      <c r="R931" s="364"/>
    </row>
    <row r="932" ht="16.5" hidden="1" customHeight="1" spans="1:18">
      <c r="A932" s="347" t="s">
        <v>155</v>
      </c>
      <c r="B932" s="348"/>
      <c r="C932" s="348"/>
      <c r="D932" s="349"/>
      <c r="E932" s="348"/>
      <c r="F932" s="345"/>
      <c r="G932" s="346"/>
      <c r="H932" s="348">
        <v>0</v>
      </c>
      <c r="I932" s="345"/>
      <c r="J932" s="349"/>
      <c r="K932" s="325"/>
      <c r="L932" s="325">
        <f t="shared" si="69"/>
        <v>0</v>
      </c>
      <c r="O932" s="325"/>
      <c r="P932" s="363"/>
      <c r="Q932" s="363"/>
      <c r="R932" s="364"/>
    </row>
    <row r="933" ht="16.5" hidden="1" customHeight="1" spans="1:18">
      <c r="A933" s="347" t="s">
        <v>156</v>
      </c>
      <c r="B933" s="348"/>
      <c r="C933" s="348"/>
      <c r="D933" s="349"/>
      <c r="E933" s="348"/>
      <c r="F933" s="345"/>
      <c r="G933" s="346"/>
      <c r="H933" s="348">
        <v>0</v>
      </c>
      <c r="I933" s="345"/>
      <c r="J933" s="349"/>
      <c r="K933" s="325"/>
      <c r="L933" s="325">
        <f t="shared" si="69"/>
        <v>0</v>
      </c>
      <c r="O933" s="325"/>
      <c r="P933" s="363"/>
      <c r="Q933" s="363"/>
      <c r="R933" s="364"/>
    </row>
    <row r="934" ht="16.5" hidden="1" customHeight="1" spans="1:18">
      <c r="A934" s="365" t="s">
        <v>157</v>
      </c>
      <c r="B934" s="348"/>
      <c r="C934" s="348"/>
      <c r="D934" s="349"/>
      <c r="E934" s="348"/>
      <c r="F934" s="345"/>
      <c r="G934" s="346"/>
      <c r="H934" s="348">
        <v>0</v>
      </c>
      <c r="I934" s="345"/>
      <c r="J934" s="349"/>
      <c r="K934" s="325"/>
      <c r="L934" s="325">
        <f t="shared" si="69"/>
        <v>0</v>
      </c>
      <c r="O934" s="325"/>
      <c r="P934" s="363"/>
      <c r="Q934" s="363"/>
      <c r="R934" s="364"/>
    </row>
    <row r="935" ht="16.5" hidden="1" customHeight="1" spans="1:18">
      <c r="A935" s="347" t="s">
        <v>843</v>
      </c>
      <c r="B935" s="348"/>
      <c r="C935" s="348"/>
      <c r="D935" s="349"/>
      <c r="E935" s="348"/>
      <c r="F935" s="345"/>
      <c r="G935" s="346"/>
      <c r="H935" s="348">
        <v>0</v>
      </c>
      <c r="I935" s="345"/>
      <c r="J935" s="349"/>
      <c r="K935" s="325"/>
      <c r="L935" s="325">
        <f t="shared" si="69"/>
        <v>0</v>
      </c>
      <c r="O935" s="325"/>
      <c r="P935" s="363"/>
      <c r="Q935" s="363"/>
      <c r="R935" s="364"/>
    </row>
    <row r="936" ht="16.5" hidden="1" customHeight="1" spans="1:18">
      <c r="A936" s="347" t="s">
        <v>844</v>
      </c>
      <c r="B936" s="348"/>
      <c r="C936" s="348"/>
      <c r="D936" s="349"/>
      <c r="E936" s="348"/>
      <c r="F936" s="345"/>
      <c r="G936" s="346"/>
      <c r="H936" s="348">
        <v>0</v>
      </c>
      <c r="I936" s="345"/>
      <c r="J936" s="349"/>
      <c r="K936" s="325"/>
      <c r="L936" s="325">
        <f t="shared" si="69"/>
        <v>0</v>
      </c>
      <c r="O936" s="325"/>
      <c r="P936" s="363"/>
      <c r="Q936" s="363"/>
      <c r="R936" s="364"/>
    </row>
    <row r="937" ht="16.5" hidden="1" customHeight="1" spans="1:18">
      <c r="A937" s="347" t="s">
        <v>845</v>
      </c>
      <c r="B937" s="348"/>
      <c r="C937" s="348"/>
      <c r="D937" s="349"/>
      <c r="E937" s="348"/>
      <c r="F937" s="345"/>
      <c r="G937" s="346"/>
      <c r="H937" s="348">
        <v>0</v>
      </c>
      <c r="I937" s="345"/>
      <c r="J937" s="349"/>
      <c r="K937" s="325"/>
      <c r="L937" s="325">
        <f t="shared" si="69"/>
        <v>0</v>
      </c>
      <c r="O937" s="325"/>
      <c r="P937" s="363"/>
      <c r="Q937" s="363"/>
      <c r="R937" s="364"/>
    </row>
    <row r="938" ht="16.5" hidden="1" customHeight="1" spans="1:18">
      <c r="A938" s="347" t="s">
        <v>846</v>
      </c>
      <c r="B938" s="348"/>
      <c r="C938" s="348"/>
      <c r="D938" s="349"/>
      <c r="E938" s="348"/>
      <c r="F938" s="345"/>
      <c r="G938" s="346"/>
      <c r="H938" s="348">
        <v>0</v>
      </c>
      <c r="I938" s="345"/>
      <c r="J938" s="349"/>
      <c r="K938" s="325"/>
      <c r="L938" s="325">
        <f t="shared" si="69"/>
        <v>0</v>
      </c>
      <c r="O938" s="325"/>
      <c r="P938" s="363"/>
      <c r="Q938" s="363"/>
      <c r="R938" s="364"/>
    </row>
    <row r="939" ht="16.5" hidden="1" customHeight="1" spans="1:18">
      <c r="A939" s="347" t="s">
        <v>847</v>
      </c>
      <c r="B939" s="348"/>
      <c r="C939" s="348"/>
      <c r="D939" s="349"/>
      <c r="E939" s="348"/>
      <c r="F939" s="345"/>
      <c r="G939" s="346"/>
      <c r="H939" s="348">
        <v>0</v>
      </c>
      <c r="I939" s="345"/>
      <c r="J939" s="349"/>
      <c r="K939" s="325"/>
      <c r="L939" s="325">
        <f t="shared" si="69"/>
        <v>0</v>
      </c>
      <c r="O939" s="325"/>
      <c r="P939" s="363"/>
      <c r="Q939" s="363"/>
      <c r="R939" s="364"/>
    </row>
    <row r="940" ht="16.5" customHeight="1" spans="1:18">
      <c r="A940" s="347" t="s">
        <v>848</v>
      </c>
      <c r="B940" s="348"/>
      <c r="C940" s="348"/>
      <c r="D940" s="349"/>
      <c r="E940" s="348"/>
      <c r="F940" s="345"/>
      <c r="G940" s="346"/>
      <c r="H940" s="348">
        <v>176.43885</v>
      </c>
      <c r="I940" s="345"/>
      <c r="J940" s="349"/>
      <c r="K940" s="325"/>
      <c r="L940" s="325">
        <f t="shared" si="69"/>
        <v>176.43885</v>
      </c>
      <c r="O940" s="325"/>
      <c r="P940" s="363"/>
      <c r="Q940" s="363"/>
      <c r="R940" s="364"/>
    </row>
    <row r="941" s="326" customFormat="1" ht="16.5" customHeight="1" spans="1:18">
      <c r="A941" s="347" t="s">
        <v>849</v>
      </c>
      <c r="B941" s="348">
        <v>15490.3</v>
      </c>
      <c r="C941" s="348">
        <v>10820</v>
      </c>
      <c r="D941" s="349">
        <f>C941/B941*100</f>
        <v>69.8501642963661</v>
      </c>
      <c r="E941" s="348">
        <v>50514</v>
      </c>
      <c r="F941" s="345">
        <f>C941-E941</f>
        <v>-39694</v>
      </c>
      <c r="G941" s="346">
        <f>F941/E941*100</f>
        <v>-78.5801955893416</v>
      </c>
      <c r="H941" s="348">
        <f>SUM(H942:H956)</f>
        <v>3435.069593</v>
      </c>
      <c r="I941" s="345">
        <f>H941-B941</f>
        <v>-12055.230407</v>
      </c>
      <c r="J941" s="349">
        <f>I941/B941*100</f>
        <v>-77.8243830461644</v>
      </c>
      <c r="K941" s="325"/>
      <c r="L941" s="325">
        <f t="shared" si="69"/>
        <v>14255.069593</v>
      </c>
      <c r="O941" s="325"/>
      <c r="P941" s="363"/>
      <c r="Q941" s="363"/>
      <c r="R941" s="364"/>
    </row>
    <row r="942" ht="16.5" customHeight="1" spans="1:18">
      <c r="A942" s="347" t="s">
        <v>155</v>
      </c>
      <c r="B942" s="348"/>
      <c r="C942" s="348"/>
      <c r="D942" s="349"/>
      <c r="E942" s="348"/>
      <c r="F942" s="345"/>
      <c r="G942" s="346"/>
      <c r="H942" s="348">
        <v>1366.389593</v>
      </c>
      <c r="I942" s="345"/>
      <c r="J942" s="349"/>
      <c r="K942" s="325"/>
      <c r="L942" s="325">
        <f t="shared" si="69"/>
        <v>1366.389593</v>
      </c>
      <c r="O942" s="325"/>
      <c r="P942" s="363"/>
      <c r="Q942" s="363"/>
      <c r="R942" s="364"/>
    </row>
    <row r="943" ht="16.5" customHeight="1" spans="1:18">
      <c r="A943" s="347" t="s">
        <v>156</v>
      </c>
      <c r="B943" s="348"/>
      <c r="C943" s="348"/>
      <c r="D943" s="349"/>
      <c r="E943" s="348"/>
      <c r="F943" s="345"/>
      <c r="G943" s="346"/>
      <c r="H943" s="348">
        <v>478.82</v>
      </c>
      <c r="I943" s="345"/>
      <c r="J943" s="349"/>
      <c r="K943" s="325"/>
      <c r="L943" s="325">
        <f t="shared" si="69"/>
        <v>478.82</v>
      </c>
      <c r="O943" s="325"/>
      <c r="P943" s="363"/>
      <c r="Q943" s="363"/>
      <c r="R943" s="364"/>
    </row>
    <row r="944" ht="16.5" hidden="1" customHeight="1" spans="1:18">
      <c r="A944" s="365" t="s">
        <v>157</v>
      </c>
      <c r="B944" s="348"/>
      <c r="C944" s="348"/>
      <c r="D944" s="349"/>
      <c r="E944" s="348"/>
      <c r="F944" s="345"/>
      <c r="G944" s="346"/>
      <c r="H944" s="348">
        <v>0</v>
      </c>
      <c r="I944" s="345"/>
      <c r="J944" s="349"/>
      <c r="K944" s="325"/>
      <c r="L944" s="325">
        <f t="shared" si="69"/>
        <v>0</v>
      </c>
      <c r="O944" s="325"/>
      <c r="P944" s="363"/>
      <c r="Q944" s="363"/>
      <c r="R944" s="364"/>
    </row>
    <row r="945" ht="16.5" hidden="1" customHeight="1" spans="1:18">
      <c r="A945" s="347" t="s">
        <v>850</v>
      </c>
      <c r="B945" s="348"/>
      <c r="C945" s="348"/>
      <c r="D945" s="349"/>
      <c r="E945" s="348"/>
      <c r="F945" s="345"/>
      <c r="G945" s="346"/>
      <c r="H945" s="348">
        <v>0</v>
      </c>
      <c r="I945" s="345"/>
      <c r="J945" s="349"/>
      <c r="K945" s="325"/>
      <c r="L945" s="325">
        <f t="shared" si="69"/>
        <v>0</v>
      </c>
      <c r="O945" s="325"/>
      <c r="P945" s="363"/>
      <c r="Q945" s="363"/>
      <c r="R945" s="364"/>
    </row>
    <row r="946" ht="16.5" hidden="1" customHeight="1" spans="1:18">
      <c r="A946" s="347" t="s">
        <v>851</v>
      </c>
      <c r="B946" s="348"/>
      <c r="C946" s="348"/>
      <c r="D946" s="349"/>
      <c r="E946" s="348"/>
      <c r="F946" s="345"/>
      <c r="G946" s="346"/>
      <c r="H946" s="348">
        <v>0</v>
      </c>
      <c r="I946" s="345"/>
      <c r="J946" s="349"/>
      <c r="K946" s="325"/>
      <c r="L946" s="325">
        <f t="shared" si="69"/>
        <v>0</v>
      </c>
      <c r="O946" s="325"/>
      <c r="P946" s="363"/>
      <c r="Q946" s="363"/>
      <c r="R946" s="364"/>
    </row>
    <row r="947" ht="16.5" hidden="1" customHeight="1" spans="1:18">
      <c r="A947" s="347" t="s">
        <v>852</v>
      </c>
      <c r="B947" s="348"/>
      <c r="C947" s="348"/>
      <c r="D947" s="349"/>
      <c r="E947" s="348"/>
      <c r="F947" s="345"/>
      <c r="G947" s="346"/>
      <c r="H947" s="348">
        <v>0</v>
      </c>
      <c r="I947" s="345"/>
      <c r="J947" s="349"/>
      <c r="K947" s="325"/>
      <c r="L947" s="325">
        <f t="shared" si="69"/>
        <v>0</v>
      </c>
      <c r="O947" s="325"/>
      <c r="P947" s="363"/>
      <c r="Q947" s="363"/>
      <c r="R947" s="364"/>
    </row>
    <row r="948" ht="16.5" hidden="1" customHeight="1" spans="1:18">
      <c r="A948" s="347" t="s">
        <v>853</v>
      </c>
      <c r="B948" s="348"/>
      <c r="C948" s="348"/>
      <c r="D948" s="349"/>
      <c r="E948" s="348"/>
      <c r="F948" s="345"/>
      <c r="G948" s="346"/>
      <c r="H948" s="348">
        <v>0</v>
      </c>
      <c r="I948" s="345"/>
      <c r="J948" s="349"/>
      <c r="K948" s="325"/>
      <c r="L948" s="325">
        <f t="shared" si="69"/>
        <v>0</v>
      </c>
      <c r="O948" s="325"/>
      <c r="P948" s="363"/>
      <c r="Q948" s="363"/>
      <c r="R948" s="364"/>
    </row>
    <row r="949" ht="16.5" hidden="1" customHeight="1" spans="1:18">
      <c r="A949" s="347" t="s">
        <v>854</v>
      </c>
      <c r="B949" s="348"/>
      <c r="C949" s="348"/>
      <c r="D949" s="349"/>
      <c r="E949" s="348"/>
      <c r="F949" s="345"/>
      <c r="G949" s="346"/>
      <c r="H949" s="348">
        <v>0</v>
      </c>
      <c r="I949" s="345"/>
      <c r="J949" s="349"/>
      <c r="K949" s="325"/>
      <c r="L949" s="325">
        <f t="shared" si="69"/>
        <v>0</v>
      </c>
      <c r="O949" s="325"/>
      <c r="P949" s="363"/>
      <c r="Q949" s="363"/>
      <c r="R949" s="364"/>
    </row>
    <row r="950" ht="16.5" customHeight="1" spans="1:18">
      <c r="A950" s="347" t="s">
        <v>855</v>
      </c>
      <c r="B950" s="348"/>
      <c r="C950" s="348"/>
      <c r="D950" s="349"/>
      <c r="E950" s="348"/>
      <c r="F950" s="345"/>
      <c r="G950" s="346"/>
      <c r="H950" s="348">
        <v>624</v>
      </c>
      <c r="I950" s="345"/>
      <c r="J950" s="349"/>
      <c r="K950" s="325"/>
      <c r="L950" s="325">
        <f t="shared" si="69"/>
        <v>624</v>
      </c>
      <c r="O950" s="325"/>
      <c r="P950" s="363"/>
      <c r="Q950" s="363"/>
      <c r="R950" s="364"/>
    </row>
    <row r="951" ht="16.5" hidden="1" customHeight="1" spans="1:18">
      <c r="A951" s="347" t="s">
        <v>856</v>
      </c>
      <c r="B951" s="348"/>
      <c r="C951" s="348"/>
      <c r="D951" s="349"/>
      <c r="E951" s="348"/>
      <c r="F951" s="345"/>
      <c r="G951" s="346"/>
      <c r="H951" s="348">
        <v>0</v>
      </c>
      <c r="I951" s="345"/>
      <c r="J951" s="349"/>
      <c r="K951" s="325"/>
      <c r="L951" s="325">
        <f t="shared" si="69"/>
        <v>0</v>
      </c>
      <c r="O951" s="325"/>
      <c r="P951" s="363"/>
      <c r="Q951" s="363"/>
      <c r="R951" s="364"/>
    </row>
    <row r="952" ht="16.5" hidden="1" customHeight="1" spans="1:18">
      <c r="A952" s="347" t="s">
        <v>857</v>
      </c>
      <c r="B952" s="348"/>
      <c r="C952" s="348"/>
      <c r="D952" s="349"/>
      <c r="E952" s="348"/>
      <c r="F952" s="345"/>
      <c r="G952" s="346"/>
      <c r="H952" s="348">
        <v>0</v>
      </c>
      <c r="I952" s="345"/>
      <c r="J952" s="349"/>
      <c r="K952" s="325"/>
      <c r="L952" s="325">
        <f t="shared" si="69"/>
        <v>0</v>
      </c>
      <c r="O952" s="325"/>
      <c r="P952" s="363"/>
      <c r="Q952" s="363"/>
      <c r="R952" s="364"/>
    </row>
    <row r="953" ht="16.5" hidden="1" customHeight="1" spans="1:18">
      <c r="A953" s="347" t="s">
        <v>858</v>
      </c>
      <c r="B953" s="348"/>
      <c r="C953" s="348"/>
      <c r="D953" s="349"/>
      <c r="E953" s="348"/>
      <c r="F953" s="345"/>
      <c r="G953" s="346"/>
      <c r="H953" s="348">
        <v>0</v>
      </c>
      <c r="I953" s="345"/>
      <c r="J953" s="349"/>
      <c r="K953" s="325"/>
      <c r="L953" s="325">
        <f t="shared" si="69"/>
        <v>0</v>
      </c>
      <c r="O953" s="325"/>
      <c r="P953" s="363"/>
      <c r="Q953" s="363"/>
      <c r="R953" s="364"/>
    </row>
    <row r="954" ht="16.5" hidden="1" customHeight="1" spans="1:18">
      <c r="A954" s="347" t="s">
        <v>859</v>
      </c>
      <c r="B954" s="348"/>
      <c r="C954" s="348"/>
      <c r="D954" s="349"/>
      <c r="E954" s="348"/>
      <c r="F954" s="345"/>
      <c r="G954" s="346"/>
      <c r="H954" s="348">
        <v>0</v>
      </c>
      <c r="I954" s="345"/>
      <c r="J954" s="349"/>
      <c r="K954" s="325"/>
      <c r="L954" s="325">
        <f t="shared" si="69"/>
        <v>0</v>
      </c>
      <c r="O954" s="325"/>
      <c r="P954" s="363"/>
      <c r="Q954" s="363"/>
      <c r="R954" s="364"/>
    </row>
    <row r="955" ht="16.5" hidden="1" customHeight="1" spans="1:18">
      <c r="A955" s="347" t="s">
        <v>860</v>
      </c>
      <c r="B955" s="348"/>
      <c r="C955" s="348"/>
      <c r="D955" s="349"/>
      <c r="E955" s="348"/>
      <c r="F955" s="345"/>
      <c r="G955" s="346"/>
      <c r="H955" s="348">
        <v>0</v>
      </c>
      <c r="I955" s="345"/>
      <c r="J955" s="349"/>
      <c r="K955" s="325"/>
      <c r="L955" s="325">
        <f t="shared" si="69"/>
        <v>0</v>
      </c>
      <c r="O955" s="325"/>
      <c r="P955" s="363"/>
      <c r="Q955" s="363"/>
      <c r="R955" s="364"/>
    </row>
    <row r="956" ht="16.5" customHeight="1" spans="1:18">
      <c r="A956" s="347" t="s">
        <v>861</v>
      </c>
      <c r="B956" s="348"/>
      <c r="C956" s="348"/>
      <c r="D956" s="349"/>
      <c r="E956" s="348"/>
      <c r="F956" s="345"/>
      <c r="G956" s="346"/>
      <c r="H956" s="348">
        <v>965.86</v>
      </c>
      <c r="I956" s="345"/>
      <c r="J956" s="349"/>
      <c r="K956" s="325"/>
      <c r="L956" s="325">
        <f t="shared" si="69"/>
        <v>965.86</v>
      </c>
      <c r="O956" s="325"/>
      <c r="P956" s="363"/>
      <c r="Q956" s="363"/>
      <c r="R956" s="364"/>
    </row>
    <row r="957" s="326" customFormat="1" ht="16.5" customHeight="1" spans="1:18">
      <c r="A957" s="347" t="s">
        <v>862</v>
      </c>
      <c r="B957" s="348">
        <v>61.3</v>
      </c>
      <c r="C957" s="348">
        <v>74</v>
      </c>
      <c r="D957" s="349">
        <f>C957/B957*100</f>
        <v>120.717781402936</v>
      </c>
      <c r="E957" s="348">
        <v>59</v>
      </c>
      <c r="F957" s="345">
        <f>C957-E957</f>
        <v>15</v>
      </c>
      <c r="G957" s="346">
        <f>F957/E957*100</f>
        <v>25.4237288135593</v>
      </c>
      <c r="H957" s="348">
        <f>SUM(H958:H961)</f>
        <v>59.206378</v>
      </c>
      <c r="I957" s="345">
        <f>H957-B957</f>
        <v>-2.093622</v>
      </c>
      <c r="J957" s="349">
        <f>I957/B957*100</f>
        <v>-3.41537030995105</v>
      </c>
      <c r="K957" s="325"/>
      <c r="L957" s="325">
        <f t="shared" si="69"/>
        <v>133.206378</v>
      </c>
      <c r="O957" s="325"/>
      <c r="P957" s="363"/>
      <c r="Q957" s="363"/>
      <c r="R957" s="364"/>
    </row>
    <row r="958" ht="16.5" hidden="1" customHeight="1" spans="1:18">
      <c r="A958" s="347" t="s">
        <v>155</v>
      </c>
      <c r="B958" s="348"/>
      <c r="C958" s="348"/>
      <c r="D958" s="349"/>
      <c r="E958" s="348"/>
      <c r="F958" s="345"/>
      <c r="G958" s="346"/>
      <c r="H958" s="348">
        <v>0</v>
      </c>
      <c r="I958" s="345"/>
      <c r="J958" s="349"/>
      <c r="K958" s="325"/>
      <c r="L958" s="325">
        <f t="shared" si="69"/>
        <v>0</v>
      </c>
      <c r="O958" s="325"/>
      <c r="P958" s="363"/>
      <c r="Q958" s="363"/>
      <c r="R958" s="364"/>
    </row>
    <row r="959" ht="16.5" hidden="1" customHeight="1" spans="1:18">
      <c r="A959" s="347" t="s">
        <v>156</v>
      </c>
      <c r="B959" s="348"/>
      <c r="C959" s="348"/>
      <c r="D959" s="349"/>
      <c r="E959" s="348"/>
      <c r="F959" s="345"/>
      <c r="G959" s="346"/>
      <c r="H959" s="348">
        <v>0</v>
      </c>
      <c r="I959" s="345"/>
      <c r="J959" s="349"/>
      <c r="K959" s="325"/>
      <c r="L959" s="325">
        <f t="shared" si="69"/>
        <v>0</v>
      </c>
      <c r="O959" s="325"/>
      <c r="P959" s="363"/>
      <c r="Q959" s="363"/>
      <c r="R959" s="364"/>
    </row>
    <row r="960" ht="16.5" hidden="1" customHeight="1" spans="1:18">
      <c r="A960" s="365" t="s">
        <v>157</v>
      </c>
      <c r="B960" s="348"/>
      <c r="C960" s="348"/>
      <c r="D960" s="349"/>
      <c r="E960" s="348"/>
      <c r="F960" s="345"/>
      <c r="G960" s="346"/>
      <c r="H960" s="348">
        <v>0</v>
      </c>
      <c r="I960" s="345"/>
      <c r="J960" s="349"/>
      <c r="K960" s="325"/>
      <c r="L960" s="325">
        <f t="shared" si="69"/>
        <v>0</v>
      </c>
      <c r="O960" s="325"/>
      <c r="P960" s="363"/>
      <c r="Q960" s="363"/>
      <c r="R960" s="364"/>
    </row>
    <row r="961" ht="16.5" customHeight="1" spans="1:18">
      <c r="A961" s="347" t="s">
        <v>863</v>
      </c>
      <c r="B961" s="348"/>
      <c r="C961" s="348"/>
      <c r="D961" s="349"/>
      <c r="E961" s="348"/>
      <c r="F961" s="345"/>
      <c r="G961" s="346"/>
      <c r="H961" s="348">
        <v>59.206378</v>
      </c>
      <c r="I961" s="345"/>
      <c r="J961" s="349"/>
      <c r="K961" s="325"/>
      <c r="L961" s="325">
        <f t="shared" si="69"/>
        <v>59.206378</v>
      </c>
      <c r="O961" s="325"/>
      <c r="P961" s="363"/>
      <c r="Q961" s="363"/>
      <c r="R961" s="364"/>
    </row>
    <row r="962" s="326" customFormat="1" ht="16.5" customHeight="1" spans="1:18">
      <c r="A962" s="347" t="s">
        <v>864</v>
      </c>
      <c r="B962" s="348">
        <v>2943</v>
      </c>
      <c r="C962" s="348">
        <v>2769</v>
      </c>
      <c r="D962" s="349">
        <f>C962/B962*100</f>
        <v>94.0876656472987</v>
      </c>
      <c r="E962" s="348">
        <v>3263</v>
      </c>
      <c r="F962" s="345">
        <f>C962-E962</f>
        <v>-494</v>
      </c>
      <c r="G962" s="346">
        <f>F962/E962*100</f>
        <v>-15.1394422310757</v>
      </c>
      <c r="H962" s="348">
        <f>SUM(H963:H972)</f>
        <v>2787.449602</v>
      </c>
      <c r="I962" s="345">
        <f>H962-B962</f>
        <v>-155.550398</v>
      </c>
      <c r="J962" s="349">
        <f>I962/B962*100</f>
        <v>-5.28543656133197</v>
      </c>
      <c r="K962" s="325"/>
      <c r="L962" s="325">
        <f t="shared" si="69"/>
        <v>5556.449602</v>
      </c>
      <c r="O962" s="325"/>
      <c r="P962" s="363"/>
      <c r="Q962" s="363"/>
      <c r="R962" s="364"/>
    </row>
    <row r="963" ht="16.5" customHeight="1" spans="1:18">
      <c r="A963" s="347" t="s">
        <v>155</v>
      </c>
      <c r="B963" s="348"/>
      <c r="C963" s="348"/>
      <c r="D963" s="349"/>
      <c r="E963" s="348"/>
      <c r="F963" s="345"/>
      <c r="G963" s="346"/>
      <c r="H963" s="348">
        <v>1471.709803</v>
      </c>
      <c r="I963" s="345"/>
      <c r="J963" s="349"/>
      <c r="K963" s="325"/>
      <c r="L963" s="325">
        <f t="shared" si="69"/>
        <v>1471.709803</v>
      </c>
      <c r="O963" s="325"/>
      <c r="P963" s="363"/>
      <c r="Q963" s="363"/>
      <c r="R963" s="364"/>
    </row>
    <row r="964" ht="16.5" customHeight="1" spans="1:18">
      <c r="A964" s="347" t="s">
        <v>156</v>
      </c>
      <c r="B964" s="348"/>
      <c r="C964" s="348"/>
      <c r="D964" s="349"/>
      <c r="E964" s="348"/>
      <c r="F964" s="345"/>
      <c r="G964" s="346"/>
      <c r="H964" s="348">
        <v>873.02</v>
      </c>
      <c r="I964" s="345"/>
      <c r="J964" s="349"/>
      <c r="K964" s="325"/>
      <c r="L964" s="325">
        <f t="shared" si="69"/>
        <v>873.02</v>
      </c>
      <c r="O964" s="325"/>
      <c r="P964" s="363"/>
      <c r="Q964" s="363"/>
      <c r="R964" s="364"/>
    </row>
    <row r="965" ht="16.5" hidden="1" customHeight="1" spans="1:18">
      <c r="A965" s="365" t="s">
        <v>157</v>
      </c>
      <c r="B965" s="348"/>
      <c r="C965" s="348"/>
      <c r="D965" s="349"/>
      <c r="E965" s="348"/>
      <c r="F965" s="345"/>
      <c r="G965" s="346"/>
      <c r="H965" s="348">
        <v>0</v>
      </c>
      <c r="I965" s="345"/>
      <c r="J965" s="349"/>
      <c r="K965" s="325"/>
      <c r="L965" s="325">
        <f t="shared" si="69"/>
        <v>0</v>
      </c>
      <c r="O965" s="325"/>
      <c r="P965" s="363"/>
      <c r="Q965" s="363"/>
      <c r="R965" s="364"/>
    </row>
    <row r="966" ht="16.5" hidden="1" customHeight="1" spans="1:18">
      <c r="A966" s="365" t="s">
        <v>865</v>
      </c>
      <c r="B966" s="348"/>
      <c r="C966" s="348"/>
      <c r="D966" s="349"/>
      <c r="E966" s="348"/>
      <c r="F966" s="345"/>
      <c r="G966" s="346"/>
      <c r="H966" s="348">
        <v>0</v>
      </c>
      <c r="I966" s="345"/>
      <c r="J966" s="349"/>
      <c r="K966" s="325"/>
      <c r="L966" s="325">
        <f t="shared" si="69"/>
        <v>0</v>
      </c>
      <c r="O966" s="325"/>
      <c r="P966" s="363"/>
      <c r="Q966" s="363"/>
      <c r="R966" s="364"/>
    </row>
    <row r="967" ht="16.5" hidden="1" customHeight="1" spans="1:18">
      <c r="A967" s="347" t="s">
        <v>866</v>
      </c>
      <c r="B967" s="348"/>
      <c r="C967" s="348"/>
      <c r="D967" s="349"/>
      <c r="E967" s="348"/>
      <c r="F967" s="345"/>
      <c r="G967" s="346"/>
      <c r="H967" s="348">
        <v>0</v>
      </c>
      <c r="I967" s="345"/>
      <c r="J967" s="349"/>
      <c r="K967" s="325"/>
      <c r="L967" s="325">
        <f t="shared" si="69"/>
        <v>0</v>
      </c>
      <c r="O967" s="325"/>
      <c r="P967" s="363"/>
      <c r="Q967" s="363"/>
      <c r="R967" s="364"/>
    </row>
    <row r="968" ht="16.5" hidden="1" customHeight="1" spans="1:18">
      <c r="A968" s="347" t="s">
        <v>867</v>
      </c>
      <c r="B968" s="348"/>
      <c r="C968" s="348"/>
      <c r="D968" s="349"/>
      <c r="E968" s="348"/>
      <c r="F968" s="345"/>
      <c r="G968" s="346"/>
      <c r="H968" s="348">
        <v>0</v>
      </c>
      <c r="I968" s="345"/>
      <c r="J968" s="349"/>
      <c r="K968" s="325"/>
      <c r="L968" s="325">
        <f t="shared" ref="L968:L1031" si="75">C968+H968</f>
        <v>0</v>
      </c>
      <c r="O968" s="325"/>
      <c r="P968" s="363"/>
      <c r="Q968" s="363"/>
      <c r="R968" s="364"/>
    </row>
    <row r="969" ht="16.5" hidden="1" customHeight="1" spans="1:18">
      <c r="A969" s="347" t="s">
        <v>868</v>
      </c>
      <c r="B969" s="348"/>
      <c r="C969" s="348"/>
      <c r="D969" s="349"/>
      <c r="E969" s="348"/>
      <c r="F969" s="345"/>
      <c r="G969" s="346"/>
      <c r="H969" s="348">
        <v>0</v>
      </c>
      <c r="I969" s="345"/>
      <c r="J969" s="349"/>
      <c r="K969" s="325"/>
      <c r="L969" s="325">
        <f t="shared" si="75"/>
        <v>0</v>
      </c>
      <c r="O969" s="325"/>
      <c r="P969" s="363"/>
      <c r="Q969" s="363"/>
      <c r="R969" s="364"/>
    </row>
    <row r="970" ht="16.5" hidden="1" customHeight="1" spans="1:18">
      <c r="A970" s="347" t="s">
        <v>869</v>
      </c>
      <c r="B970" s="348"/>
      <c r="C970" s="348"/>
      <c r="D970" s="349"/>
      <c r="E970" s="348"/>
      <c r="F970" s="345"/>
      <c r="G970" s="346"/>
      <c r="H970" s="348">
        <v>0</v>
      </c>
      <c r="I970" s="345"/>
      <c r="J970" s="349"/>
      <c r="K970" s="325"/>
      <c r="L970" s="325">
        <f t="shared" si="75"/>
        <v>0</v>
      </c>
      <c r="O970" s="325"/>
      <c r="P970" s="363"/>
      <c r="Q970" s="363"/>
      <c r="R970" s="364"/>
    </row>
    <row r="971" ht="16.5" customHeight="1" spans="1:18">
      <c r="A971" s="347" t="s">
        <v>164</v>
      </c>
      <c r="B971" s="348"/>
      <c r="C971" s="348"/>
      <c r="D971" s="349"/>
      <c r="E971" s="348"/>
      <c r="F971" s="345"/>
      <c r="G971" s="346"/>
      <c r="H971" s="348">
        <v>326.858466</v>
      </c>
      <c r="I971" s="345"/>
      <c r="J971" s="349"/>
      <c r="K971" s="325"/>
      <c r="L971" s="325">
        <f t="shared" si="75"/>
        <v>326.858466</v>
      </c>
      <c r="O971" s="325"/>
      <c r="P971" s="363"/>
      <c r="Q971" s="363"/>
      <c r="R971" s="364"/>
    </row>
    <row r="972" ht="16.5" customHeight="1" spans="1:18">
      <c r="A972" s="347" t="s">
        <v>870</v>
      </c>
      <c r="B972" s="348"/>
      <c r="C972" s="348"/>
      <c r="D972" s="349"/>
      <c r="E972" s="348"/>
      <c r="F972" s="345"/>
      <c r="G972" s="346"/>
      <c r="H972" s="348">
        <v>115.861333</v>
      </c>
      <c r="I972" s="345"/>
      <c r="J972" s="349"/>
      <c r="K972" s="325"/>
      <c r="L972" s="325">
        <f t="shared" si="75"/>
        <v>115.861333</v>
      </c>
      <c r="O972" s="325"/>
      <c r="P972" s="363"/>
      <c r="Q972" s="363"/>
      <c r="R972" s="364"/>
    </row>
    <row r="973" s="326" customFormat="1" ht="16.5" customHeight="1" spans="1:18">
      <c r="A973" s="347" t="s">
        <v>871</v>
      </c>
      <c r="B973" s="348">
        <v>6071</v>
      </c>
      <c r="C973" s="348">
        <v>620</v>
      </c>
      <c r="D973" s="349">
        <f>C973/B973*100</f>
        <v>10.2124855872179</v>
      </c>
      <c r="E973" s="348">
        <v>74427</v>
      </c>
      <c r="F973" s="345">
        <f>C973-E973</f>
        <v>-73807</v>
      </c>
      <c r="G973" s="346">
        <f>F973/E973*100</f>
        <v>-99.1669689763124</v>
      </c>
      <c r="H973" s="348">
        <f>SUM(H974:H978)</f>
        <v>1398.31986</v>
      </c>
      <c r="I973" s="345">
        <f>H973-B973</f>
        <v>-4672.68014</v>
      </c>
      <c r="J973" s="349">
        <f>I973/B973*100</f>
        <v>-76.9672235216604</v>
      </c>
      <c r="K973" s="325"/>
      <c r="L973" s="325">
        <f t="shared" si="75"/>
        <v>2018.31986</v>
      </c>
      <c r="O973" s="325"/>
      <c r="P973" s="363"/>
      <c r="Q973" s="363"/>
      <c r="R973" s="364"/>
    </row>
    <row r="974" ht="16.5" customHeight="1" spans="1:18">
      <c r="A974" s="365" t="s">
        <v>155</v>
      </c>
      <c r="B974" s="348"/>
      <c r="C974" s="348"/>
      <c r="D974" s="349"/>
      <c r="E974" s="348"/>
      <c r="F974" s="345"/>
      <c r="G974" s="346"/>
      <c r="H974" s="348">
        <v>314.17906</v>
      </c>
      <c r="I974" s="345"/>
      <c r="J974" s="349"/>
      <c r="K974" s="325"/>
      <c r="L974" s="325">
        <f t="shared" si="75"/>
        <v>314.17906</v>
      </c>
      <c r="O974" s="325"/>
      <c r="P974" s="363"/>
      <c r="Q974" s="363"/>
      <c r="R974" s="364"/>
    </row>
    <row r="975" ht="16.5" customHeight="1" spans="1:18">
      <c r="A975" s="365" t="s">
        <v>156</v>
      </c>
      <c r="B975" s="348"/>
      <c r="C975" s="348"/>
      <c r="D975" s="349"/>
      <c r="E975" s="348"/>
      <c r="F975" s="345"/>
      <c r="G975" s="346"/>
      <c r="H975" s="348">
        <v>337</v>
      </c>
      <c r="I975" s="345"/>
      <c r="J975" s="349"/>
      <c r="K975" s="325"/>
      <c r="L975" s="325">
        <f t="shared" si="75"/>
        <v>337</v>
      </c>
      <c r="O975" s="325"/>
      <c r="P975" s="363"/>
      <c r="Q975" s="363"/>
      <c r="R975" s="364"/>
    </row>
    <row r="976" ht="16.5" hidden="1" customHeight="1" spans="1:18">
      <c r="A976" s="365" t="s">
        <v>157</v>
      </c>
      <c r="B976" s="348"/>
      <c r="C976" s="348"/>
      <c r="D976" s="349"/>
      <c r="E976" s="348"/>
      <c r="F976" s="345"/>
      <c r="G976" s="346"/>
      <c r="H976" s="348">
        <v>0</v>
      </c>
      <c r="I976" s="345"/>
      <c r="J976" s="349"/>
      <c r="K976" s="325"/>
      <c r="L976" s="325">
        <f t="shared" si="75"/>
        <v>0</v>
      </c>
      <c r="O976" s="325"/>
      <c r="P976" s="363"/>
      <c r="Q976" s="363"/>
      <c r="R976" s="364"/>
    </row>
    <row r="977" ht="16.5" hidden="1" customHeight="1" spans="1:18">
      <c r="A977" s="365" t="s">
        <v>872</v>
      </c>
      <c r="B977" s="348"/>
      <c r="C977" s="348"/>
      <c r="D977" s="349"/>
      <c r="E977" s="348"/>
      <c r="F977" s="345"/>
      <c r="G977" s="346"/>
      <c r="H977" s="348">
        <v>0</v>
      </c>
      <c r="I977" s="345"/>
      <c r="J977" s="349"/>
      <c r="K977" s="325"/>
      <c r="L977" s="325">
        <f t="shared" si="75"/>
        <v>0</v>
      </c>
      <c r="O977" s="325"/>
      <c r="P977" s="363"/>
      <c r="Q977" s="363"/>
      <c r="R977" s="364"/>
    </row>
    <row r="978" ht="16.5" customHeight="1" spans="1:18">
      <c r="A978" s="365" t="s">
        <v>873</v>
      </c>
      <c r="B978" s="348"/>
      <c r="C978" s="348"/>
      <c r="D978" s="349"/>
      <c r="E978" s="348"/>
      <c r="F978" s="345"/>
      <c r="G978" s="346"/>
      <c r="H978" s="348">
        <v>747.1408</v>
      </c>
      <c r="I978" s="345"/>
      <c r="J978" s="349"/>
      <c r="K978" s="325"/>
      <c r="L978" s="325">
        <f t="shared" si="75"/>
        <v>747.1408</v>
      </c>
      <c r="O978" s="325"/>
      <c r="P978" s="363"/>
      <c r="Q978" s="363"/>
      <c r="R978" s="364"/>
    </row>
    <row r="979" s="326" customFormat="1" ht="16.5" customHeight="1" spans="1:18">
      <c r="A979" s="347" t="s">
        <v>874</v>
      </c>
      <c r="B979" s="348">
        <v>197</v>
      </c>
      <c r="C979" s="348">
        <v>196</v>
      </c>
      <c r="D979" s="349">
        <f>C979/B979*100</f>
        <v>99.492385786802</v>
      </c>
      <c r="E979" s="348">
        <v>671</v>
      </c>
      <c r="F979" s="345">
        <f>C979-E979</f>
        <v>-475</v>
      </c>
      <c r="G979" s="346">
        <f>F979/E979*100</f>
        <v>-70.7898658718331</v>
      </c>
      <c r="H979" s="348">
        <f>SUM(H980:H986)</f>
        <v>6776.4715</v>
      </c>
      <c r="I979" s="345">
        <f>H979-B979</f>
        <v>6579.4715</v>
      </c>
      <c r="J979" s="349">
        <f>I979/B979*100</f>
        <v>3339.83324873096</v>
      </c>
      <c r="K979" s="325"/>
      <c r="L979" s="325">
        <f t="shared" si="75"/>
        <v>6972.4715</v>
      </c>
      <c r="O979" s="325"/>
      <c r="P979" s="363"/>
      <c r="Q979" s="363"/>
      <c r="R979" s="364"/>
    </row>
    <row r="980" ht="16.5" hidden="1" customHeight="1" spans="1:18">
      <c r="A980" s="365" t="s">
        <v>155</v>
      </c>
      <c r="B980" s="348"/>
      <c r="C980" s="348"/>
      <c r="D980" s="349"/>
      <c r="E980" s="348"/>
      <c r="F980" s="345"/>
      <c r="G980" s="346"/>
      <c r="H980" s="348">
        <v>0</v>
      </c>
      <c r="I980" s="345"/>
      <c r="J980" s="349"/>
      <c r="K980" s="325"/>
      <c r="L980" s="325">
        <f t="shared" si="75"/>
        <v>0</v>
      </c>
      <c r="O980" s="325"/>
      <c r="P980" s="363"/>
      <c r="Q980" s="363"/>
      <c r="R980" s="364"/>
    </row>
    <row r="981" ht="16.5" hidden="1" customHeight="1" spans="1:18">
      <c r="A981" s="365" t="s">
        <v>156</v>
      </c>
      <c r="B981" s="348"/>
      <c r="C981" s="348"/>
      <c r="D981" s="349"/>
      <c r="E981" s="348"/>
      <c r="F981" s="345"/>
      <c r="G981" s="346"/>
      <c r="H981" s="348">
        <v>0</v>
      </c>
      <c r="I981" s="345"/>
      <c r="J981" s="349"/>
      <c r="K981" s="325"/>
      <c r="L981" s="325">
        <f t="shared" si="75"/>
        <v>0</v>
      </c>
      <c r="O981" s="325"/>
      <c r="P981" s="363"/>
      <c r="Q981" s="363"/>
      <c r="R981" s="364"/>
    </row>
    <row r="982" ht="16.5" hidden="1" customHeight="1" spans="1:18">
      <c r="A982" s="365" t="s">
        <v>157</v>
      </c>
      <c r="B982" s="348"/>
      <c r="C982" s="348"/>
      <c r="D982" s="349"/>
      <c r="E982" s="348"/>
      <c r="F982" s="345"/>
      <c r="G982" s="346"/>
      <c r="H982" s="348">
        <v>0</v>
      </c>
      <c r="I982" s="345"/>
      <c r="J982" s="349"/>
      <c r="K982" s="325"/>
      <c r="L982" s="325">
        <f t="shared" si="75"/>
        <v>0</v>
      </c>
      <c r="O982" s="325"/>
      <c r="P982" s="363"/>
      <c r="Q982" s="363"/>
      <c r="R982" s="364"/>
    </row>
    <row r="983" ht="16.5" hidden="1" customHeight="1" spans="1:18">
      <c r="A983" s="365" t="s">
        <v>875</v>
      </c>
      <c r="B983" s="348"/>
      <c r="C983" s="348"/>
      <c r="D983" s="349"/>
      <c r="E983" s="348"/>
      <c r="F983" s="345"/>
      <c r="G983" s="346"/>
      <c r="H983" s="348">
        <v>0</v>
      </c>
      <c r="I983" s="345"/>
      <c r="J983" s="349"/>
      <c r="K983" s="325"/>
      <c r="L983" s="325">
        <f t="shared" si="75"/>
        <v>0</v>
      </c>
      <c r="O983" s="325"/>
      <c r="P983" s="363"/>
      <c r="Q983" s="363"/>
      <c r="R983" s="364"/>
    </row>
    <row r="984" ht="16.5" customHeight="1" spans="1:18">
      <c r="A984" s="347" t="s">
        <v>876</v>
      </c>
      <c r="B984" s="348"/>
      <c r="C984" s="348"/>
      <c r="D984" s="349"/>
      <c r="E984" s="348"/>
      <c r="F984" s="345"/>
      <c r="G984" s="346"/>
      <c r="H984" s="348">
        <v>6776.4715</v>
      </c>
      <c r="I984" s="345"/>
      <c r="J984" s="349"/>
      <c r="K984" s="325"/>
      <c r="L984" s="325">
        <f t="shared" si="75"/>
        <v>6776.4715</v>
      </c>
      <c r="O984" s="325"/>
      <c r="P984" s="363"/>
      <c r="Q984" s="363"/>
      <c r="R984" s="364"/>
    </row>
    <row r="985" ht="16.5" hidden="1" customHeight="1" spans="1:18">
      <c r="A985" s="347" t="s">
        <v>877</v>
      </c>
      <c r="B985" s="348"/>
      <c r="C985" s="348"/>
      <c r="D985" s="349"/>
      <c r="E985" s="348"/>
      <c r="F985" s="345"/>
      <c r="G985" s="346"/>
      <c r="H985" s="348">
        <v>0</v>
      </c>
      <c r="I985" s="345"/>
      <c r="J985" s="349"/>
      <c r="K985" s="325"/>
      <c r="L985" s="325">
        <f t="shared" si="75"/>
        <v>0</v>
      </c>
      <c r="O985" s="325"/>
      <c r="P985" s="363"/>
      <c r="Q985" s="363"/>
      <c r="R985" s="364"/>
    </row>
    <row r="986" ht="16.5" hidden="1" customHeight="1" spans="1:18">
      <c r="A986" s="347" t="s">
        <v>878</v>
      </c>
      <c r="B986" s="348"/>
      <c r="C986" s="348"/>
      <c r="D986" s="349"/>
      <c r="E986" s="348"/>
      <c r="F986" s="345"/>
      <c r="G986" s="346"/>
      <c r="H986" s="348">
        <v>0</v>
      </c>
      <c r="I986" s="345"/>
      <c r="J986" s="349"/>
      <c r="K986" s="325"/>
      <c r="L986" s="325">
        <f t="shared" si="75"/>
        <v>0</v>
      </c>
      <c r="O986" s="325"/>
      <c r="P986" s="363"/>
      <c r="Q986" s="363"/>
      <c r="R986" s="364"/>
    </row>
    <row r="987" s="326" customFormat="1" ht="16.5" customHeight="1" spans="1:18">
      <c r="A987" s="347" t="s">
        <v>879</v>
      </c>
      <c r="B987" s="348"/>
      <c r="C987" s="348">
        <v>1095</v>
      </c>
      <c r="D987" s="349"/>
      <c r="E987" s="348">
        <v>2713</v>
      </c>
      <c r="F987" s="345">
        <f>C987-E987</f>
        <v>-1618</v>
      </c>
      <c r="G987" s="346">
        <f>F987/E987*100</f>
        <v>-59.6387762624401</v>
      </c>
      <c r="H987" s="348">
        <f>SUM(H988:H992)</f>
        <v>4129</v>
      </c>
      <c r="I987" s="345">
        <f>H987-B987</f>
        <v>4129</v>
      </c>
      <c r="J987" s="349"/>
      <c r="K987" s="325"/>
      <c r="L987" s="325">
        <f t="shared" si="75"/>
        <v>5224</v>
      </c>
      <c r="O987" s="325"/>
      <c r="P987" s="363"/>
      <c r="Q987" s="363"/>
      <c r="R987" s="364"/>
    </row>
    <row r="988" s="327" customFormat="1" ht="16.5" hidden="1" customHeight="1" spans="1:18">
      <c r="A988" s="347" t="s">
        <v>880</v>
      </c>
      <c r="B988" s="348"/>
      <c r="C988" s="348"/>
      <c r="D988" s="349"/>
      <c r="E988" s="348"/>
      <c r="F988" s="345"/>
      <c r="G988" s="346"/>
      <c r="H988" s="348">
        <v>0</v>
      </c>
      <c r="I988" s="345"/>
      <c r="J988" s="349"/>
      <c r="K988" s="325"/>
      <c r="L988" s="325">
        <f t="shared" si="75"/>
        <v>0</v>
      </c>
      <c r="O988" s="325"/>
      <c r="P988" s="363"/>
      <c r="Q988" s="363"/>
      <c r="R988" s="364"/>
    </row>
    <row r="989" s="327" customFormat="1" ht="16.5" hidden="1" customHeight="1" spans="1:18">
      <c r="A989" s="347" t="s">
        <v>881</v>
      </c>
      <c r="B989" s="348"/>
      <c r="C989" s="348"/>
      <c r="D989" s="349"/>
      <c r="E989" s="348"/>
      <c r="F989" s="345"/>
      <c r="G989" s="346"/>
      <c r="H989" s="348">
        <v>0</v>
      </c>
      <c r="I989" s="345"/>
      <c r="J989" s="349"/>
      <c r="K989" s="325"/>
      <c r="L989" s="325">
        <f t="shared" si="75"/>
        <v>0</v>
      </c>
      <c r="O989" s="325"/>
      <c r="P989" s="363"/>
      <c r="Q989" s="363"/>
      <c r="R989" s="364"/>
    </row>
    <row r="990" s="327" customFormat="1" ht="16.5" hidden="1" customHeight="1" spans="1:18">
      <c r="A990" s="347" t="s">
        <v>882</v>
      </c>
      <c r="B990" s="348"/>
      <c r="C990" s="348"/>
      <c r="D990" s="349"/>
      <c r="E990" s="348"/>
      <c r="F990" s="345"/>
      <c r="G990" s="346"/>
      <c r="H990" s="348">
        <v>0</v>
      </c>
      <c r="I990" s="345"/>
      <c r="J990" s="349"/>
      <c r="K990" s="325"/>
      <c r="L990" s="325">
        <f t="shared" si="75"/>
        <v>0</v>
      </c>
      <c r="O990" s="325"/>
      <c r="P990" s="363"/>
      <c r="Q990" s="363"/>
      <c r="R990" s="364"/>
    </row>
    <row r="991" s="327" customFormat="1" ht="16.5" hidden="1" customHeight="1" spans="1:18">
      <c r="A991" s="347" t="s">
        <v>883</v>
      </c>
      <c r="B991" s="348"/>
      <c r="C991" s="348"/>
      <c r="D991" s="349"/>
      <c r="E991" s="348"/>
      <c r="F991" s="345"/>
      <c r="G991" s="346"/>
      <c r="H991" s="348">
        <v>0</v>
      </c>
      <c r="I991" s="345"/>
      <c r="J991" s="349"/>
      <c r="K991" s="325"/>
      <c r="L991" s="325">
        <f t="shared" si="75"/>
        <v>0</v>
      </c>
      <c r="O991" s="325"/>
      <c r="P991" s="363"/>
      <c r="Q991" s="363"/>
      <c r="R991" s="364"/>
    </row>
    <row r="992" s="327" customFormat="1" ht="16.5" customHeight="1" spans="1:18">
      <c r="A992" s="347" t="s">
        <v>884</v>
      </c>
      <c r="B992" s="348"/>
      <c r="C992" s="348"/>
      <c r="D992" s="349"/>
      <c r="E992" s="348"/>
      <c r="F992" s="345"/>
      <c r="G992" s="346"/>
      <c r="H992" s="348">
        <v>4129</v>
      </c>
      <c r="I992" s="345"/>
      <c r="J992" s="349"/>
      <c r="K992" s="325"/>
      <c r="L992" s="325">
        <f t="shared" si="75"/>
        <v>4129</v>
      </c>
      <c r="O992" s="325"/>
      <c r="P992" s="363"/>
      <c r="Q992" s="363"/>
      <c r="R992" s="364"/>
    </row>
    <row r="993" s="325" customFormat="1" ht="16.5" customHeight="1" spans="1:18">
      <c r="A993" s="344" t="s">
        <v>885</v>
      </c>
      <c r="B993" s="345">
        <f>B994+B1004+B1010</f>
        <v>8216</v>
      </c>
      <c r="C993" s="345">
        <f>C994+C1004+C1010</f>
        <v>3465.99</v>
      </c>
      <c r="D993" s="349">
        <f>C993/B993*100</f>
        <v>42.1858568646543</v>
      </c>
      <c r="E993" s="345">
        <f>E994+E1004+E1010</f>
        <v>4539</v>
      </c>
      <c r="F993" s="345">
        <f>C993-E993</f>
        <v>-1073.01</v>
      </c>
      <c r="G993" s="346">
        <f>F993/E993*100</f>
        <v>-23.6397884996695</v>
      </c>
      <c r="H993" s="345">
        <f>H994+H1004+H1010</f>
        <v>975.964709</v>
      </c>
      <c r="I993" s="345">
        <f>H993-B993</f>
        <v>-7240.035291</v>
      </c>
      <c r="J993" s="349">
        <f>I993/B993*100</f>
        <v>-88.1211695593963</v>
      </c>
      <c r="L993" s="325">
        <f t="shared" si="75"/>
        <v>4441.954709</v>
      </c>
      <c r="P993" s="362"/>
      <c r="Q993" s="362"/>
      <c r="R993" s="364"/>
    </row>
    <row r="994" s="325" customFormat="1" ht="16.5" customHeight="1" spans="1:18">
      <c r="A994" s="365" t="s">
        <v>886</v>
      </c>
      <c r="B994" s="348">
        <v>6567</v>
      </c>
      <c r="C994" s="348">
        <v>2749</v>
      </c>
      <c r="D994" s="349">
        <f>C994/B994*100</f>
        <v>41.8608192477539</v>
      </c>
      <c r="E994" s="348">
        <v>2953</v>
      </c>
      <c r="F994" s="345">
        <f>C994-E994</f>
        <v>-204</v>
      </c>
      <c r="G994" s="346">
        <f>F994/E994*100</f>
        <v>-6.90822891974263</v>
      </c>
      <c r="H994" s="348">
        <f>SUM(H995:H1003)</f>
        <v>975.964709</v>
      </c>
      <c r="I994" s="345">
        <f>H994-B994</f>
        <v>-5591.035291</v>
      </c>
      <c r="J994" s="349">
        <f>I994/B994*100</f>
        <v>-85.1383476625552</v>
      </c>
      <c r="L994" s="325">
        <f t="shared" si="75"/>
        <v>3724.964709</v>
      </c>
      <c r="P994" s="363"/>
      <c r="Q994" s="363"/>
      <c r="R994" s="364"/>
    </row>
    <row r="995" s="325" customFormat="1" ht="16.5" customHeight="1" spans="1:18">
      <c r="A995" s="365" t="s">
        <v>155</v>
      </c>
      <c r="B995" s="348"/>
      <c r="C995" s="348"/>
      <c r="D995" s="349"/>
      <c r="E995" s="348"/>
      <c r="F995" s="345"/>
      <c r="G995" s="346"/>
      <c r="H995" s="348">
        <v>314.084709</v>
      </c>
      <c r="I995" s="345"/>
      <c r="J995" s="349"/>
      <c r="L995" s="325">
        <f t="shared" si="75"/>
        <v>314.084709</v>
      </c>
      <c r="P995" s="363"/>
      <c r="Q995" s="363"/>
      <c r="R995" s="364"/>
    </row>
    <row r="996" s="325" customFormat="1" ht="16.5" hidden="1" customHeight="1" spans="1:18">
      <c r="A996" s="365" t="s">
        <v>156</v>
      </c>
      <c r="B996" s="348"/>
      <c r="C996" s="348"/>
      <c r="D996" s="349"/>
      <c r="E996" s="348"/>
      <c r="F996" s="345"/>
      <c r="G996" s="346"/>
      <c r="H996" s="348">
        <v>0</v>
      </c>
      <c r="I996" s="345"/>
      <c r="J996" s="349"/>
      <c r="L996" s="325">
        <f t="shared" si="75"/>
        <v>0</v>
      </c>
      <c r="P996" s="363"/>
      <c r="Q996" s="363"/>
      <c r="R996" s="364"/>
    </row>
    <row r="997" s="325" customFormat="1" ht="16.5" hidden="1" customHeight="1" spans="1:18">
      <c r="A997" s="365" t="s">
        <v>157</v>
      </c>
      <c r="B997" s="348"/>
      <c r="C997" s="348"/>
      <c r="D997" s="349"/>
      <c r="E997" s="348"/>
      <c r="F997" s="345"/>
      <c r="G997" s="346"/>
      <c r="H997" s="348">
        <v>0</v>
      </c>
      <c r="I997" s="345"/>
      <c r="J997" s="349"/>
      <c r="L997" s="325">
        <f t="shared" si="75"/>
        <v>0</v>
      </c>
      <c r="P997" s="363"/>
      <c r="Q997" s="363"/>
      <c r="R997" s="364"/>
    </row>
    <row r="998" s="325" customFormat="1" ht="16.5" hidden="1" customHeight="1" spans="1:18">
      <c r="A998" s="365" t="s">
        <v>887</v>
      </c>
      <c r="B998" s="348"/>
      <c r="C998" s="348"/>
      <c r="D998" s="349"/>
      <c r="E998" s="348"/>
      <c r="F998" s="345"/>
      <c r="G998" s="346"/>
      <c r="H998" s="348">
        <v>0</v>
      </c>
      <c r="I998" s="345"/>
      <c r="J998" s="349"/>
      <c r="L998" s="325">
        <f t="shared" si="75"/>
        <v>0</v>
      </c>
      <c r="P998" s="363"/>
      <c r="Q998" s="363"/>
      <c r="R998" s="364"/>
    </row>
    <row r="999" s="325" customFormat="1" ht="16.5" hidden="1" customHeight="1" spans="1:18">
      <c r="A999" s="365" t="s">
        <v>888</v>
      </c>
      <c r="B999" s="348"/>
      <c r="C999" s="348"/>
      <c r="D999" s="349"/>
      <c r="E999" s="348"/>
      <c r="F999" s="345"/>
      <c r="G999" s="346"/>
      <c r="H999" s="348">
        <v>0</v>
      </c>
      <c r="I999" s="345"/>
      <c r="J999" s="349"/>
      <c r="L999" s="325">
        <f t="shared" si="75"/>
        <v>0</v>
      </c>
      <c r="P999" s="363"/>
      <c r="Q999" s="363"/>
      <c r="R999" s="364"/>
    </row>
    <row r="1000" s="325" customFormat="1" ht="16.5" hidden="1" customHeight="1" spans="1:18">
      <c r="A1000" s="365" t="s">
        <v>889</v>
      </c>
      <c r="B1000" s="348"/>
      <c r="C1000" s="348"/>
      <c r="D1000" s="349"/>
      <c r="E1000" s="348"/>
      <c r="F1000" s="345"/>
      <c r="G1000" s="346"/>
      <c r="H1000" s="348">
        <v>0</v>
      </c>
      <c r="I1000" s="345"/>
      <c r="J1000" s="349"/>
      <c r="L1000" s="325">
        <f t="shared" si="75"/>
        <v>0</v>
      </c>
      <c r="P1000" s="363"/>
      <c r="Q1000" s="363"/>
      <c r="R1000" s="364"/>
    </row>
    <row r="1001" s="325" customFormat="1" ht="16.5" customHeight="1" spans="1:18">
      <c r="A1001" s="365" t="s">
        <v>890</v>
      </c>
      <c r="B1001" s="348"/>
      <c r="C1001" s="348"/>
      <c r="D1001" s="349"/>
      <c r="E1001" s="348"/>
      <c r="F1001" s="345"/>
      <c r="G1001" s="346"/>
      <c r="H1001" s="348">
        <v>151.88</v>
      </c>
      <c r="I1001" s="345"/>
      <c r="J1001" s="349"/>
      <c r="L1001" s="325">
        <f t="shared" si="75"/>
        <v>151.88</v>
      </c>
      <c r="P1001" s="363"/>
      <c r="Q1001" s="363"/>
      <c r="R1001" s="364"/>
    </row>
    <row r="1002" s="325" customFormat="1" ht="16.5" hidden="1" customHeight="1" spans="1:18">
      <c r="A1002" s="365" t="s">
        <v>164</v>
      </c>
      <c r="B1002" s="348"/>
      <c r="C1002" s="348"/>
      <c r="D1002" s="349"/>
      <c r="E1002" s="348"/>
      <c r="F1002" s="345"/>
      <c r="G1002" s="346"/>
      <c r="H1002" s="348">
        <v>0</v>
      </c>
      <c r="I1002" s="345"/>
      <c r="J1002" s="349"/>
      <c r="L1002" s="325">
        <f t="shared" si="75"/>
        <v>0</v>
      </c>
      <c r="P1002" s="363"/>
      <c r="Q1002" s="363"/>
      <c r="R1002" s="364"/>
    </row>
    <row r="1003" s="325" customFormat="1" ht="16.5" customHeight="1" spans="1:18">
      <c r="A1003" s="365" t="s">
        <v>891</v>
      </c>
      <c r="B1003" s="348"/>
      <c r="C1003" s="348"/>
      <c r="D1003" s="349"/>
      <c r="E1003" s="348"/>
      <c r="F1003" s="345"/>
      <c r="G1003" s="346"/>
      <c r="H1003" s="348">
        <v>510</v>
      </c>
      <c r="I1003" s="345"/>
      <c r="J1003" s="349"/>
      <c r="L1003" s="325">
        <f t="shared" si="75"/>
        <v>510</v>
      </c>
      <c r="P1003" s="363"/>
      <c r="Q1003" s="363"/>
      <c r="R1003" s="364"/>
    </row>
    <row r="1004" s="325" customFormat="1" ht="16.5" customHeight="1" spans="1:18">
      <c r="A1004" s="365" t="s">
        <v>892</v>
      </c>
      <c r="B1004" s="348">
        <v>1649</v>
      </c>
      <c r="C1004" s="348">
        <v>707.87</v>
      </c>
      <c r="D1004" s="349">
        <f>C1004/B1004*100</f>
        <v>42.9272286234081</v>
      </c>
      <c r="E1004" s="348">
        <v>1515</v>
      </c>
      <c r="F1004" s="345">
        <f>C1004-E1004</f>
        <v>-807.13</v>
      </c>
      <c r="G1004" s="346">
        <f>F1004/E1004*100</f>
        <v>-53.2759075907591</v>
      </c>
      <c r="H1004" s="348">
        <f>SUM(H1005:H1009)</f>
        <v>0</v>
      </c>
      <c r="I1004" s="345">
        <f>H1004-B1004</f>
        <v>-1649</v>
      </c>
      <c r="J1004" s="349">
        <f>I1004/B1004*100</f>
        <v>-100</v>
      </c>
      <c r="L1004" s="325">
        <f t="shared" si="75"/>
        <v>707.87</v>
      </c>
      <c r="P1004" s="363"/>
      <c r="Q1004" s="363"/>
      <c r="R1004" s="364"/>
    </row>
    <row r="1005" s="325" customFormat="1" ht="16.5" hidden="1" customHeight="1" spans="1:18">
      <c r="A1005" s="365" t="s">
        <v>155</v>
      </c>
      <c r="B1005" s="348"/>
      <c r="C1005" s="348"/>
      <c r="D1005" s="349"/>
      <c r="E1005" s="348"/>
      <c r="F1005" s="345"/>
      <c r="G1005" s="346"/>
      <c r="H1005" s="348"/>
      <c r="I1005" s="345"/>
      <c r="J1005" s="349"/>
      <c r="L1005" s="325">
        <f t="shared" si="75"/>
        <v>0</v>
      </c>
      <c r="P1005" s="363"/>
      <c r="Q1005" s="363"/>
      <c r="R1005" s="364"/>
    </row>
    <row r="1006" s="325" customFormat="1" ht="16.5" hidden="1" customHeight="1" spans="1:18">
      <c r="A1006" s="365" t="s">
        <v>156</v>
      </c>
      <c r="B1006" s="348"/>
      <c r="C1006" s="348"/>
      <c r="D1006" s="349"/>
      <c r="E1006" s="348"/>
      <c r="F1006" s="345"/>
      <c r="G1006" s="346"/>
      <c r="H1006" s="348"/>
      <c r="I1006" s="345"/>
      <c r="J1006" s="349"/>
      <c r="L1006" s="325">
        <f t="shared" si="75"/>
        <v>0</v>
      </c>
      <c r="P1006" s="363"/>
      <c r="Q1006" s="363"/>
      <c r="R1006" s="364"/>
    </row>
    <row r="1007" s="325" customFormat="1" ht="16.5" hidden="1" customHeight="1" spans="1:18">
      <c r="A1007" s="365" t="s">
        <v>157</v>
      </c>
      <c r="B1007" s="348"/>
      <c r="C1007" s="348"/>
      <c r="D1007" s="349"/>
      <c r="E1007" s="348"/>
      <c r="F1007" s="345"/>
      <c r="G1007" s="346"/>
      <c r="H1007" s="348"/>
      <c r="I1007" s="345"/>
      <c r="J1007" s="349"/>
      <c r="L1007" s="325">
        <f t="shared" si="75"/>
        <v>0</v>
      </c>
      <c r="P1007" s="363"/>
      <c r="Q1007" s="363"/>
      <c r="R1007" s="364"/>
    </row>
    <row r="1008" s="325" customFormat="1" ht="16.5" hidden="1" customHeight="1" spans="1:18">
      <c r="A1008" s="365" t="s">
        <v>893</v>
      </c>
      <c r="B1008" s="348"/>
      <c r="C1008" s="348"/>
      <c r="D1008" s="349"/>
      <c r="E1008" s="348"/>
      <c r="F1008" s="345"/>
      <c r="G1008" s="346"/>
      <c r="H1008" s="348"/>
      <c r="I1008" s="345"/>
      <c r="J1008" s="349"/>
      <c r="L1008" s="325">
        <f t="shared" si="75"/>
        <v>0</v>
      </c>
      <c r="P1008" s="363"/>
      <c r="Q1008" s="363"/>
      <c r="R1008" s="364"/>
    </row>
    <row r="1009" s="325" customFormat="1" ht="16.5" hidden="1" customHeight="1" spans="1:18">
      <c r="A1009" s="365" t="s">
        <v>894</v>
      </c>
      <c r="B1009" s="348"/>
      <c r="C1009" s="348"/>
      <c r="D1009" s="349"/>
      <c r="E1009" s="348"/>
      <c r="F1009" s="345"/>
      <c r="G1009" s="346"/>
      <c r="H1009" s="348"/>
      <c r="I1009" s="345"/>
      <c r="J1009" s="349"/>
      <c r="L1009" s="325">
        <f t="shared" si="75"/>
        <v>0</v>
      </c>
      <c r="P1009" s="363"/>
      <c r="Q1009" s="363"/>
      <c r="R1009" s="364"/>
    </row>
    <row r="1010" s="325" customFormat="1" ht="16.5" customHeight="1" spans="1:18">
      <c r="A1010" s="365" t="s">
        <v>895</v>
      </c>
      <c r="B1010" s="348"/>
      <c r="C1010" s="348">
        <v>9.12</v>
      </c>
      <c r="D1010" s="349"/>
      <c r="E1010" s="348">
        <v>71</v>
      </c>
      <c r="F1010" s="345">
        <f t="shared" ref="F1010:F1014" si="76">C1010-E1010</f>
        <v>-61.88</v>
      </c>
      <c r="G1010" s="346">
        <f t="shared" ref="G1010:G1014" si="77">F1010/E1010*100</f>
        <v>-87.1549295774648</v>
      </c>
      <c r="H1010" s="348">
        <f>SUM(H1011:H1012)</f>
        <v>0</v>
      </c>
      <c r="I1010" s="345">
        <f t="shared" ref="I1010:I1014" si="78">H1010-B1010</f>
        <v>0</v>
      </c>
      <c r="J1010" s="349"/>
      <c r="L1010" s="325">
        <f t="shared" si="75"/>
        <v>9.12</v>
      </c>
      <c r="P1010" s="363"/>
      <c r="Q1010" s="363"/>
      <c r="R1010" s="364"/>
    </row>
    <row r="1011" s="325" customFormat="1" ht="16.5" hidden="1" customHeight="1" spans="1:18">
      <c r="A1011" s="365" t="s">
        <v>896</v>
      </c>
      <c r="B1011" s="348"/>
      <c r="C1011" s="348"/>
      <c r="D1011" s="349"/>
      <c r="E1011" s="348"/>
      <c r="F1011" s="345"/>
      <c r="G1011" s="346"/>
      <c r="H1011" s="348"/>
      <c r="I1011" s="345"/>
      <c r="J1011" s="349"/>
      <c r="L1011" s="325">
        <f t="shared" si="75"/>
        <v>0</v>
      </c>
      <c r="P1011" s="363"/>
      <c r="Q1011" s="363"/>
      <c r="R1011" s="364"/>
    </row>
    <row r="1012" s="325" customFormat="1" ht="16.5" hidden="1" customHeight="1" spans="1:18">
      <c r="A1012" s="365" t="s">
        <v>897</v>
      </c>
      <c r="B1012" s="348"/>
      <c r="C1012" s="348"/>
      <c r="D1012" s="349"/>
      <c r="E1012" s="348"/>
      <c r="F1012" s="345"/>
      <c r="G1012" s="346"/>
      <c r="H1012" s="348"/>
      <c r="I1012" s="345"/>
      <c r="J1012" s="349"/>
      <c r="L1012" s="325">
        <f t="shared" si="75"/>
        <v>0</v>
      </c>
      <c r="P1012" s="363"/>
      <c r="Q1012" s="363"/>
      <c r="R1012" s="364"/>
    </row>
    <row r="1013" s="325" customFormat="1" ht="16.5" customHeight="1" spans="1:18">
      <c r="A1013" s="344" t="s">
        <v>898</v>
      </c>
      <c r="B1013" s="345">
        <f>B1014+B1021+B1027+B1033+B1034</f>
        <v>2030</v>
      </c>
      <c r="C1013" s="345">
        <f>C1014+C1021+C1027+C1033+C1034</f>
        <v>2683</v>
      </c>
      <c r="D1013" s="349">
        <f>C1013/B1013*100</f>
        <v>132.167487684729</v>
      </c>
      <c r="E1013" s="345">
        <f>E1014+E1021+E1027+E1033+E1034</f>
        <v>2519</v>
      </c>
      <c r="F1013" s="345">
        <f t="shared" si="76"/>
        <v>164</v>
      </c>
      <c r="G1013" s="346">
        <f t="shared" si="77"/>
        <v>6.51052004763795</v>
      </c>
      <c r="H1013" s="345">
        <f>H1014+H1021+H1027+H1033+H1034</f>
        <v>1275.93</v>
      </c>
      <c r="I1013" s="345">
        <f t="shared" si="78"/>
        <v>-754.07</v>
      </c>
      <c r="J1013" s="349">
        <f>I1013/B1013*100</f>
        <v>-37.1463054187192</v>
      </c>
      <c r="L1013" s="325">
        <f t="shared" si="75"/>
        <v>3958.93</v>
      </c>
      <c r="P1013" s="362"/>
      <c r="Q1013" s="362"/>
      <c r="R1013" s="364"/>
    </row>
    <row r="1014" s="325" customFormat="1" ht="16.5" customHeight="1" spans="1:18">
      <c r="A1014" s="347" t="s">
        <v>899</v>
      </c>
      <c r="B1014" s="348"/>
      <c r="C1014" s="348">
        <v>877</v>
      </c>
      <c r="D1014" s="349"/>
      <c r="E1014" s="348">
        <v>375</v>
      </c>
      <c r="F1014" s="345">
        <f t="shared" si="76"/>
        <v>502</v>
      </c>
      <c r="G1014" s="346">
        <f t="shared" si="77"/>
        <v>133.866666666667</v>
      </c>
      <c r="H1014" s="348">
        <f>SUM(H1015:H1020)</f>
        <v>0</v>
      </c>
      <c r="I1014" s="345">
        <f t="shared" si="78"/>
        <v>0</v>
      </c>
      <c r="J1014" s="349"/>
      <c r="L1014" s="325">
        <f t="shared" si="75"/>
        <v>877</v>
      </c>
      <c r="P1014" s="363"/>
      <c r="Q1014" s="363"/>
      <c r="R1014" s="364"/>
    </row>
    <row r="1015" s="325" customFormat="1" ht="16.5" hidden="1" customHeight="1" spans="1:18">
      <c r="A1015" s="347" t="s">
        <v>155</v>
      </c>
      <c r="B1015" s="348"/>
      <c r="C1015" s="348"/>
      <c r="D1015" s="349"/>
      <c r="E1015" s="348"/>
      <c r="F1015" s="345"/>
      <c r="G1015" s="346"/>
      <c r="H1015" s="348"/>
      <c r="I1015" s="345"/>
      <c r="J1015" s="349"/>
      <c r="L1015" s="325">
        <f t="shared" si="75"/>
        <v>0</v>
      </c>
      <c r="P1015" s="363"/>
      <c r="Q1015" s="363"/>
      <c r="R1015" s="364"/>
    </row>
    <row r="1016" s="325" customFormat="1" ht="16.5" hidden="1" customHeight="1" spans="1:18">
      <c r="A1016" s="347" t="s">
        <v>156</v>
      </c>
      <c r="B1016" s="348"/>
      <c r="C1016" s="348"/>
      <c r="D1016" s="349"/>
      <c r="E1016" s="348"/>
      <c r="F1016" s="345"/>
      <c r="G1016" s="346"/>
      <c r="H1016" s="348"/>
      <c r="I1016" s="345"/>
      <c r="J1016" s="349"/>
      <c r="L1016" s="325">
        <f t="shared" si="75"/>
        <v>0</v>
      </c>
      <c r="P1016" s="363"/>
      <c r="Q1016" s="363"/>
      <c r="R1016" s="364"/>
    </row>
    <row r="1017" s="325" customFormat="1" ht="16.5" hidden="1" customHeight="1" spans="1:18">
      <c r="A1017" s="347" t="s">
        <v>157</v>
      </c>
      <c r="B1017" s="348"/>
      <c r="C1017" s="348"/>
      <c r="D1017" s="349"/>
      <c r="E1017" s="348"/>
      <c r="F1017" s="345"/>
      <c r="G1017" s="346"/>
      <c r="H1017" s="348"/>
      <c r="I1017" s="345"/>
      <c r="J1017" s="349"/>
      <c r="L1017" s="325">
        <f t="shared" si="75"/>
        <v>0</v>
      </c>
      <c r="P1017" s="363"/>
      <c r="Q1017" s="363"/>
      <c r="R1017" s="364"/>
    </row>
    <row r="1018" s="325" customFormat="1" ht="16.5" hidden="1" customHeight="1" spans="1:18">
      <c r="A1018" s="347" t="s">
        <v>900</v>
      </c>
      <c r="B1018" s="348"/>
      <c r="C1018" s="348"/>
      <c r="D1018" s="349"/>
      <c r="E1018" s="348"/>
      <c r="F1018" s="345"/>
      <c r="G1018" s="346"/>
      <c r="H1018" s="348"/>
      <c r="I1018" s="345"/>
      <c r="J1018" s="349"/>
      <c r="L1018" s="325">
        <f t="shared" si="75"/>
        <v>0</v>
      </c>
      <c r="P1018" s="363"/>
      <c r="Q1018" s="363"/>
      <c r="R1018" s="364"/>
    </row>
    <row r="1019" s="325" customFormat="1" ht="16.5" hidden="1" customHeight="1" spans="1:18">
      <c r="A1019" s="347" t="s">
        <v>164</v>
      </c>
      <c r="B1019" s="348"/>
      <c r="C1019" s="348"/>
      <c r="D1019" s="349"/>
      <c r="E1019" s="348"/>
      <c r="F1019" s="345"/>
      <c r="G1019" s="346"/>
      <c r="H1019" s="348"/>
      <c r="I1019" s="345"/>
      <c r="J1019" s="349"/>
      <c r="L1019" s="325">
        <f t="shared" si="75"/>
        <v>0</v>
      </c>
      <c r="P1019" s="363"/>
      <c r="Q1019" s="363"/>
      <c r="R1019" s="364"/>
    </row>
    <row r="1020" s="325" customFormat="1" ht="16.5" hidden="1" customHeight="1" spans="1:18">
      <c r="A1020" s="347" t="s">
        <v>901</v>
      </c>
      <c r="B1020" s="348"/>
      <c r="C1020" s="348"/>
      <c r="D1020" s="349"/>
      <c r="E1020" s="348"/>
      <c r="F1020" s="345"/>
      <c r="G1020" s="346"/>
      <c r="H1020" s="348"/>
      <c r="I1020" s="345"/>
      <c r="J1020" s="349"/>
      <c r="L1020" s="325">
        <f t="shared" si="75"/>
        <v>0</v>
      </c>
      <c r="P1020" s="363"/>
      <c r="Q1020" s="363"/>
      <c r="R1020" s="364"/>
    </row>
    <row r="1021" s="325" customFormat="1" ht="16.5" hidden="1" customHeight="1" spans="1:18">
      <c r="A1021" s="347" t="s">
        <v>902</v>
      </c>
      <c r="B1021" s="348"/>
      <c r="C1021" s="348"/>
      <c r="D1021" s="349"/>
      <c r="E1021" s="348"/>
      <c r="F1021" s="345">
        <f>C1021-E1021</f>
        <v>0</v>
      </c>
      <c r="G1021" s="346"/>
      <c r="H1021" s="348">
        <f>SUM(H1022:H1026)</f>
        <v>0</v>
      </c>
      <c r="I1021" s="345">
        <f>H1021-B1021</f>
        <v>0</v>
      </c>
      <c r="J1021" s="349"/>
      <c r="L1021" s="325">
        <f t="shared" si="75"/>
        <v>0</v>
      </c>
      <c r="P1021" s="363"/>
      <c r="Q1021" s="363"/>
      <c r="R1021" s="364"/>
    </row>
    <row r="1022" s="325" customFormat="1" ht="16.5" hidden="1" customHeight="1" spans="1:18">
      <c r="A1022" s="347" t="s">
        <v>903</v>
      </c>
      <c r="B1022" s="348"/>
      <c r="C1022" s="348"/>
      <c r="D1022" s="349"/>
      <c r="E1022" s="348"/>
      <c r="F1022" s="345"/>
      <c r="G1022" s="346"/>
      <c r="H1022" s="348"/>
      <c r="I1022" s="345"/>
      <c r="J1022" s="349"/>
      <c r="L1022" s="325">
        <f t="shared" si="75"/>
        <v>0</v>
      </c>
      <c r="P1022" s="363"/>
      <c r="Q1022" s="363"/>
      <c r="R1022" s="364"/>
    </row>
    <row r="1023" s="325" customFormat="1" ht="16.5" hidden="1" customHeight="1" spans="1:18">
      <c r="A1023" s="347" t="s">
        <v>904</v>
      </c>
      <c r="B1023" s="348"/>
      <c r="C1023" s="348"/>
      <c r="D1023" s="349"/>
      <c r="E1023" s="348"/>
      <c r="F1023" s="345"/>
      <c r="G1023" s="346"/>
      <c r="H1023" s="348"/>
      <c r="I1023" s="345"/>
      <c r="J1023" s="349"/>
      <c r="L1023" s="325">
        <f t="shared" si="75"/>
        <v>0</v>
      </c>
      <c r="P1023" s="363"/>
      <c r="Q1023" s="363"/>
      <c r="R1023" s="364"/>
    </row>
    <row r="1024" s="325" customFormat="1" ht="16.5" hidden="1" customHeight="1" spans="1:18">
      <c r="A1024" s="347" t="s">
        <v>905</v>
      </c>
      <c r="B1024" s="348"/>
      <c r="C1024" s="348"/>
      <c r="D1024" s="349"/>
      <c r="E1024" s="348"/>
      <c r="F1024" s="345"/>
      <c r="G1024" s="346"/>
      <c r="H1024" s="348"/>
      <c r="I1024" s="345"/>
      <c r="J1024" s="349"/>
      <c r="L1024" s="325">
        <f t="shared" si="75"/>
        <v>0</v>
      </c>
      <c r="P1024" s="363"/>
      <c r="Q1024" s="363"/>
      <c r="R1024" s="364"/>
    </row>
    <row r="1025" s="325" customFormat="1" ht="16.5" hidden="1" customHeight="1" spans="1:18">
      <c r="A1025" s="347" t="s">
        <v>906</v>
      </c>
      <c r="B1025" s="348"/>
      <c r="C1025" s="348"/>
      <c r="D1025" s="349"/>
      <c r="E1025" s="348"/>
      <c r="F1025" s="345"/>
      <c r="G1025" s="346"/>
      <c r="H1025" s="348"/>
      <c r="I1025" s="345"/>
      <c r="J1025" s="349"/>
      <c r="L1025" s="325">
        <f t="shared" si="75"/>
        <v>0</v>
      </c>
      <c r="P1025" s="363"/>
      <c r="Q1025" s="363"/>
      <c r="R1025" s="364"/>
    </row>
    <row r="1026" s="325" customFormat="1" ht="16.5" hidden="1" customHeight="1" spans="1:18">
      <c r="A1026" s="347" t="s">
        <v>907</v>
      </c>
      <c r="B1026" s="348"/>
      <c r="C1026" s="348"/>
      <c r="D1026" s="349"/>
      <c r="E1026" s="348"/>
      <c r="F1026" s="345"/>
      <c r="G1026" s="346"/>
      <c r="H1026" s="348"/>
      <c r="I1026" s="345"/>
      <c r="J1026" s="349"/>
      <c r="L1026" s="325">
        <f t="shared" si="75"/>
        <v>0</v>
      </c>
      <c r="P1026" s="363"/>
      <c r="Q1026" s="363"/>
      <c r="R1026" s="364"/>
    </row>
    <row r="1027" s="325" customFormat="1" ht="16.5" customHeight="1" spans="1:18">
      <c r="A1027" s="347" t="s">
        <v>908</v>
      </c>
      <c r="B1027" s="348">
        <v>2030</v>
      </c>
      <c r="C1027" s="348">
        <v>1806</v>
      </c>
      <c r="D1027" s="349">
        <f>C1027/B1027*100</f>
        <v>88.9655172413793</v>
      </c>
      <c r="E1027" s="348">
        <v>2144</v>
      </c>
      <c r="F1027" s="345">
        <f>C1027-E1027</f>
        <v>-338</v>
      </c>
      <c r="G1027" s="346">
        <f>F1027/E1027*100</f>
        <v>-15.7649253731343</v>
      </c>
      <c r="H1027" s="348">
        <f>SUM(H1028:H1032)</f>
        <v>1275.93</v>
      </c>
      <c r="I1027" s="345">
        <f>H1027-B1027</f>
        <v>-754.07</v>
      </c>
      <c r="J1027" s="349">
        <f>I1027/B1027*100</f>
        <v>-37.1463054187192</v>
      </c>
      <c r="L1027" s="325">
        <f t="shared" si="75"/>
        <v>3081.93</v>
      </c>
      <c r="P1027" s="363"/>
      <c r="Q1027" s="363"/>
      <c r="R1027" s="364"/>
    </row>
    <row r="1028" s="325" customFormat="1" ht="16.5" hidden="1" customHeight="1" spans="1:18">
      <c r="A1028" s="347" t="s">
        <v>909</v>
      </c>
      <c r="B1028" s="348"/>
      <c r="C1028" s="348"/>
      <c r="D1028" s="349"/>
      <c r="E1028" s="348"/>
      <c r="F1028" s="345"/>
      <c r="G1028" s="346"/>
      <c r="H1028" s="348">
        <v>0</v>
      </c>
      <c r="I1028" s="345"/>
      <c r="J1028" s="349"/>
      <c r="L1028" s="325">
        <f t="shared" si="75"/>
        <v>0</v>
      </c>
      <c r="P1028" s="363"/>
      <c r="Q1028" s="363"/>
      <c r="R1028" s="364"/>
    </row>
    <row r="1029" s="325" customFormat="1" ht="16.5" customHeight="1" spans="1:18">
      <c r="A1029" s="347" t="s">
        <v>910</v>
      </c>
      <c r="B1029" s="348"/>
      <c r="C1029" s="348"/>
      <c r="D1029" s="349"/>
      <c r="E1029" s="348"/>
      <c r="F1029" s="345"/>
      <c r="G1029" s="346"/>
      <c r="H1029" s="348">
        <v>190</v>
      </c>
      <c r="I1029" s="345"/>
      <c r="J1029" s="349"/>
      <c r="L1029" s="325">
        <f t="shared" si="75"/>
        <v>190</v>
      </c>
      <c r="P1029" s="363"/>
      <c r="Q1029" s="363"/>
      <c r="R1029" s="364"/>
    </row>
    <row r="1030" s="325" customFormat="1" ht="16.5" hidden="1" customHeight="1" spans="1:18">
      <c r="A1030" s="347" t="s">
        <v>911</v>
      </c>
      <c r="B1030" s="348"/>
      <c r="C1030" s="348"/>
      <c r="D1030" s="349"/>
      <c r="E1030" s="348"/>
      <c r="F1030" s="345"/>
      <c r="G1030" s="346"/>
      <c r="H1030" s="348">
        <v>0</v>
      </c>
      <c r="I1030" s="345"/>
      <c r="J1030" s="349"/>
      <c r="L1030" s="325">
        <f t="shared" si="75"/>
        <v>0</v>
      </c>
      <c r="P1030" s="363"/>
      <c r="Q1030" s="363"/>
      <c r="R1030" s="364"/>
    </row>
    <row r="1031" s="325" customFormat="1" ht="16.5" hidden="1" customHeight="1" spans="1:18">
      <c r="A1031" s="347" t="s">
        <v>912</v>
      </c>
      <c r="B1031" s="348"/>
      <c r="C1031" s="348"/>
      <c r="D1031" s="349"/>
      <c r="E1031" s="348"/>
      <c r="F1031" s="345"/>
      <c r="G1031" s="346"/>
      <c r="H1031" s="348">
        <v>0</v>
      </c>
      <c r="I1031" s="345"/>
      <c r="J1031" s="349"/>
      <c r="L1031" s="325">
        <f t="shared" si="75"/>
        <v>0</v>
      </c>
      <c r="P1031" s="363"/>
      <c r="Q1031" s="363"/>
      <c r="R1031" s="364"/>
    </row>
    <row r="1032" s="325" customFormat="1" ht="16.5" customHeight="1" spans="1:18">
      <c r="A1032" s="347" t="s">
        <v>913</v>
      </c>
      <c r="B1032" s="348"/>
      <c r="C1032" s="348"/>
      <c r="D1032" s="349"/>
      <c r="E1032" s="348"/>
      <c r="F1032" s="345"/>
      <c r="G1032" s="346"/>
      <c r="H1032" s="348">
        <v>1085.93</v>
      </c>
      <c r="I1032" s="345"/>
      <c r="J1032" s="349"/>
      <c r="L1032" s="325">
        <f t="shared" ref="L1032:L1095" si="79">C1032+H1032</f>
        <v>1085.93</v>
      </c>
      <c r="P1032" s="363"/>
      <c r="Q1032" s="363"/>
      <c r="R1032" s="364"/>
    </row>
    <row r="1033" s="325" customFormat="1" ht="16.5" hidden="1" customHeight="1" spans="1:18">
      <c r="A1033" s="347" t="s">
        <v>914</v>
      </c>
      <c r="B1033" s="348"/>
      <c r="C1033" s="348"/>
      <c r="D1033" s="349"/>
      <c r="E1033" s="348"/>
      <c r="F1033" s="345">
        <f t="shared" ref="F1033:F1038" si="80">C1033-E1033</f>
        <v>0</v>
      </c>
      <c r="G1033" s="346"/>
      <c r="H1033" s="348">
        <v>0</v>
      </c>
      <c r="I1033" s="345"/>
      <c r="J1033" s="349"/>
      <c r="L1033" s="325">
        <f t="shared" si="79"/>
        <v>0</v>
      </c>
      <c r="P1033" s="363"/>
      <c r="Q1033" s="363"/>
      <c r="R1033" s="364"/>
    </row>
    <row r="1034" s="325" customFormat="1" ht="16.5" hidden="1" customHeight="1" spans="1:18">
      <c r="A1034" s="347" t="s">
        <v>915</v>
      </c>
      <c r="B1034" s="348"/>
      <c r="C1034" s="348"/>
      <c r="D1034" s="349"/>
      <c r="E1034" s="348"/>
      <c r="F1034" s="345"/>
      <c r="G1034" s="346"/>
      <c r="H1034" s="348">
        <f>SUM(H1035:H1036)</f>
        <v>0</v>
      </c>
      <c r="I1034" s="345">
        <f t="shared" ref="I1034:I1038" si="81">H1034-B1034</f>
        <v>0</v>
      </c>
      <c r="J1034" s="349"/>
      <c r="L1034" s="325">
        <f t="shared" si="79"/>
        <v>0</v>
      </c>
      <c r="P1034" s="363"/>
      <c r="Q1034" s="363"/>
      <c r="R1034" s="364"/>
    </row>
    <row r="1035" s="325" customFormat="1" ht="16.5" hidden="1" customHeight="1" spans="1:18">
      <c r="A1035" s="347" t="s">
        <v>916</v>
      </c>
      <c r="B1035" s="348"/>
      <c r="C1035" s="348"/>
      <c r="D1035" s="349"/>
      <c r="E1035" s="348"/>
      <c r="F1035" s="345"/>
      <c r="G1035" s="346"/>
      <c r="H1035" s="348">
        <v>0</v>
      </c>
      <c r="I1035" s="345"/>
      <c r="J1035" s="349"/>
      <c r="L1035" s="325">
        <f t="shared" si="79"/>
        <v>0</v>
      </c>
      <c r="P1035" s="363"/>
      <c r="Q1035" s="363"/>
      <c r="R1035" s="364"/>
    </row>
    <row r="1036" s="325" customFormat="1" ht="16.5" hidden="1" customHeight="1" spans="1:18">
      <c r="A1036" s="347" t="s">
        <v>917</v>
      </c>
      <c r="B1036" s="348"/>
      <c r="C1036" s="348"/>
      <c r="D1036" s="349"/>
      <c r="E1036" s="348"/>
      <c r="F1036" s="345"/>
      <c r="G1036" s="346"/>
      <c r="H1036" s="348"/>
      <c r="I1036" s="345"/>
      <c r="J1036" s="349"/>
      <c r="L1036" s="325">
        <f t="shared" si="79"/>
        <v>0</v>
      </c>
      <c r="P1036" s="363"/>
      <c r="Q1036" s="363"/>
      <c r="R1036" s="364"/>
    </row>
    <row r="1037" s="325" customFormat="1" ht="16.5" customHeight="1" spans="1:18">
      <c r="A1037" s="344" t="s">
        <v>918</v>
      </c>
      <c r="B1037" s="345">
        <f>B1038+B1053+B1065</f>
        <v>13083</v>
      </c>
      <c r="C1037" s="345">
        <f>C1038+C1053+C1065</f>
        <v>6796</v>
      </c>
      <c r="D1037" s="349">
        <f t="shared" ref="D1034:D1038" si="82">C1037/B1037*100</f>
        <v>51.9452724910189</v>
      </c>
      <c r="E1037" s="345">
        <f>E1038+E1053+E1065</f>
        <v>7432</v>
      </c>
      <c r="F1037" s="345">
        <f t="shared" si="80"/>
        <v>-636</v>
      </c>
      <c r="G1037" s="346">
        <f t="shared" ref="G1034:G1038" si="83">F1037/E1037*100</f>
        <v>-8.55758880516685</v>
      </c>
      <c r="H1037" s="345">
        <f>H1038+H1053+H1065</f>
        <v>3359.464303</v>
      </c>
      <c r="I1037" s="345">
        <f t="shared" si="81"/>
        <v>-9723.535697</v>
      </c>
      <c r="J1037" s="349">
        <f t="shared" ref="J1034:J1038" si="84">I1037/B1037*100</f>
        <v>-74.3219116181304</v>
      </c>
      <c r="L1037" s="325">
        <f t="shared" si="79"/>
        <v>10155.464303</v>
      </c>
      <c r="P1037" s="362"/>
      <c r="Q1037" s="362"/>
      <c r="R1037" s="364"/>
    </row>
    <row r="1038" s="325" customFormat="1" ht="16.5" customHeight="1" spans="1:18">
      <c r="A1038" s="347" t="s">
        <v>919</v>
      </c>
      <c r="B1038" s="348">
        <v>12913</v>
      </c>
      <c r="C1038" s="348">
        <v>6200</v>
      </c>
      <c r="D1038" s="349">
        <f t="shared" si="82"/>
        <v>48.0136296755208</v>
      </c>
      <c r="E1038" s="348">
        <v>6951</v>
      </c>
      <c r="F1038" s="345">
        <f t="shared" si="80"/>
        <v>-751</v>
      </c>
      <c r="G1038" s="346">
        <f t="shared" si="83"/>
        <v>-10.8042008344123</v>
      </c>
      <c r="H1038" s="348">
        <f>SUM(H1039:H1052)</f>
        <v>3098.059848</v>
      </c>
      <c r="I1038" s="345">
        <f t="shared" si="81"/>
        <v>-9814.940152</v>
      </c>
      <c r="J1038" s="349">
        <f t="shared" si="84"/>
        <v>-76.0082099589561</v>
      </c>
      <c r="L1038" s="325">
        <f t="shared" si="79"/>
        <v>9298.059848</v>
      </c>
      <c r="P1038" s="363"/>
      <c r="Q1038" s="363"/>
      <c r="R1038" s="364"/>
    </row>
    <row r="1039" s="325" customFormat="1" ht="16.5" customHeight="1" spans="1:18">
      <c r="A1039" s="347" t="s">
        <v>155</v>
      </c>
      <c r="B1039" s="348"/>
      <c r="C1039" s="348"/>
      <c r="D1039" s="349"/>
      <c r="E1039" s="348"/>
      <c r="F1039" s="345"/>
      <c r="G1039" s="346"/>
      <c r="H1039" s="348">
        <v>1405.490431</v>
      </c>
      <c r="I1039" s="345"/>
      <c r="J1039" s="349"/>
      <c r="L1039" s="325">
        <f t="shared" si="79"/>
        <v>1405.490431</v>
      </c>
      <c r="P1039" s="363"/>
      <c r="Q1039" s="363"/>
      <c r="R1039" s="364"/>
    </row>
    <row r="1040" s="325" customFormat="1" ht="16.5" customHeight="1" spans="1:18">
      <c r="A1040" s="347" t="s">
        <v>156</v>
      </c>
      <c r="B1040" s="348"/>
      <c r="C1040" s="348"/>
      <c r="D1040" s="349"/>
      <c r="E1040" s="348"/>
      <c r="F1040" s="345"/>
      <c r="G1040" s="346"/>
      <c r="H1040" s="348">
        <v>40</v>
      </c>
      <c r="I1040" s="345"/>
      <c r="J1040" s="349"/>
      <c r="L1040" s="325">
        <f t="shared" si="79"/>
        <v>40</v>
      </c>
      <c r="P1040" s="363"/>
      <c r="Q1040" s="363"/>
      <c r="R1040" s="364"/>
    </row>
    <row r="1041" s="325" customFormat="1" ht="16.5" hidden="1" customHeight="1" spans="1:18">
      <c r="A1041" s="347" t="s">
        <v>157</v>
      </c>
      <c r="B1041" s="348"/>
      <c r="C1041" s="348"/>
      <c r="D1041" s="349"/>
      <c r="E1041" s="348"/>
      <c r="F1041" s="345"/>
      <c r="G1041" s="346"/>
      <c r="H1041" s="348">
        <v>0</v>
      </c>
      <c r="I1041" s="345"/>
      <c r="J1041" s="349"/>
      <c r="L1041" s="325">
        <f t="shared" si="79"/>
        <v>0</v>
      </c>
      <c r="P1041" s="363"/>
      <c r="Q1041" s="363"/>
      <c r="R1041" s="364"/>
    </row>
    <row r="1042" s="325" customFormat="1" ht="16.5" customHeight="1" spans="1:18">
      <c r="A1042" s="347" t="s">
        <v>920</v>
      </c>
      <c r="B1042" s="348"/>
      <c r="C1042" s="348"/>
      <c r="D1042" s="349"/>
      <c r="E1042" s="348"/>
      <c r="F1042" s="345"/>
      <c r="G1042" s="346"/>
      <c r="H1042" s="348">
        <v>120</v>
      </c>
      <c r="I1042" s="345"/>
      <c r="J1042" s="349"/>
      <c r="L1042" s="325">
        <f t="shared" si="79"/>
        <v>120</v>
      </c>
      <c r="P1042" s="363"/>
      <c r="Q1042" s="363"/>
      <c r="R1042" s="364"/>
    </row>
    <row r="1043" s="325" customFormat="1" ht="16.5" customHeight="1" spans="1:18">
      <c r="A1043" s="347" t="s">
        <v>921</v>
      </c>
      <c r="B1043" s="348"/>
      <c r="C1043" s="348"/>
      <c r="D1043" s="349"/>
      <c r="E1043" s="348"/>
      <c r="F1043" s="345"/>
      <c r="G1043" s="346"/>
      <c r="H1043" s="348">
        <v>60</v>
      </c>
      <c r="I1043" s="345"/>
      <c r="J1043" s="349"/>
      <c r="L1043" s="325">
        <f t="shared" si="79"/>
        <v>60</v>
      </c>
      <c r="P1043" s="363"/>
      <c r="Q1043" s="363"/>
      <c r="R1043" s="364"/>
    </row>
    <row r="1044" s="325" customFormat="1" ht="16.5" hidden="1" customHeight="1" spans="1:18">
      <c r="A1044" s="347" t="s">
        <v>922</v>
      </c>
      <c r="B1044" s="348"/>
      <c r="C1044" s="348"/>
      <c r="D1044" s="349"/>
      <c r="E1044" s="348"/>
      <c r="F1044" s="345"/>
      <c r="G1044" s="346"/>
      <c r="H1044" s="348">
        <v>0</v>
      </c>
      <c r="I1044" s="345"/>
      <c r="J1044" s="349"/>
      <c r="L1044" s="325">
        <f t="shared" si="79"/>
        <v>0</v>
      </c>
      <c r="P1044" s="363"/>
      <c r="Q1044" s="363"/>
      <c r="R1044" s="364"/>
    </row>
    <row r="1045" s="325" customFormat="1" ht="16.5" hidden="1" customHeight="1" spans="1:18">
      <c r="A1045" s="347" t="s">
        <v>923</v>
      </c>
      <c r="B1045" s="348"/>
      <c r="C1045" s="348"/>
      <c r="D1045" s="349"/>
      <c r="E1045" s="348"/>
      <c r="F1045" s="345"/>
      <c r="G1045" s="346"/>
      <c r="H1045" s="348">
        <v>0</v>
      </c>
      <c r="I1045" s="345"/>
      <c r="J1045" s="349"/>
      <c r="L1045" s="325">
        <f t="shared" si="79"/>
        <v>0</v>
      </c>
      <c r="P1045" s="363"/>
      <c r="Q1045" s="363"/>
      <c r="R1045" s="364"/>
    </row>
    <row r="1046" s="325" customFormat="1" ht="16.5" hidden="1" customHeight="1" spans="1:18">
      <c r="A1046" s="347" t="s">
        <v>924</v>
      </c>
      <c r="B1046" s="348"/>
      <c r="C1046" s="348"/>
      <c r="D1046" s="349"/>
      <c r="E1046" s="348"/>
      <c r="F1046" s="345"/>
      <c r="G1046" s="346"/>
      <c r="H1046" s="348">
        <v>0</v>
      </c>
      <c r="I1046" s="345"/>
      <c r="J1046" s="349"/>
      <c r="L1046" s="325">
        <f t="shared" si="79"/>
        <v>0</v>
      </c>
      <c r="P1046" s="363"/>
      <c r="Q1046" s="363"/>
      <c r="R1046" s="364"/>
    </row>
    <row r="1047" s="325" customFormat="1" ht="16.5" hidden="1" customHeight="1" spans="1:18">
      <c r="A1047" s="347" t="s">
        <v>925</v>
      </c>
      <c r="B1047" s="348"/>
      <c r="C1047" s="348"/>
      <c r="D1047" s="349"/>
      <c r="E1047" s="348"/>
      <c r="F1047" s="345"/>
      <c r="G1047" s="346"/>
      <c r="H1047" s="348">
        <v>0</v>
      </c>
      <c r="I1047" s="345"/>
      <c r="J1047" s="349"/>
      <c r="L1047" s="325">
        <f t="shared" si="79"/>
        <v>0</v>
      </c>
      <c r="P1047" s="363"/>
      <c r="Q1047" s="363"/>
      <c r="R1047" s="364"/>
    </row>
    <row r="1048" s="325" customFormat="1" ht="16.5" hidden="1" customHeight="1" spans="1:18">
      <c r="A1048" s="347" t="s">
        <v>926</v>
      </c>
      <c r="B1048" s="348"/>
      <c r="C1048" s="348"/>
      <c r="D1048" s="349"/>
      <c r="E1048" s="348"/>
      <c r="F1048" s="345"/>
      <c r="G1048" s="346"/>
      <c r="H1048" s="348">
        <v>0</v>
      </c>
      <c r="I1048" s="345"/>
      <c r="J1048" s="349"/>
      <c r="L1048" s="325">
        <f t="shared" si="79"/>
        <v>0</v>
      </c>
      <c r="P1048" s="363"/>
      <c r="Q1048" s="363"/>
      <c r="R1048" s="364"/>
    </row>
    <row r="1049" s="325" customFormat="1" ht="16.5" customHeight="1" spans="1:18">
      <c r="A1049" s="347" t="s">
        <v>927</v>
      </c>
      <c r="B1049" s="348"/>
      <c r="C1049" s="348"/>
      <c r="D1049" s="349"/>
      <c r="E1049" s="348"/>
      <c r="F1049" s="345"/>
      <c r="G1049" s="346"/>
      <c r="H1049" s="348">
        <v>25.8</v>
      </c>
      <c r="I1049" s="345"/>
      <c r="J1049" s="349"/>
      <c r="L1049" s="325">
        <f t="shared" si="79"/>
        <v>25.8</v>
      </c>
      <c r="P1049" s="363"/>
      <c r="Q1049" s="363"/>
      <c r="R1049" s="364"/>
    </row>
    <row r="1050" s="325" customFormat="1" ht="16.5" hidden="1" customHeight="1" spans="1:18">
      <c r="A1050" s="347" t="s">
        <v>928</v>
      </c>
      <c r="B1050" s="348"/>
      <c r="C1050" s="348"/>
      <c r="D1050" s="349"/>
      <c r="E1050" s="348"/>
      <c r="F1050" s="345"/>
      <c r="G1050" s="346"/>
      <c r="H1050" s="348">
        <v>0</v>
      </c>
      <c r="I1050" s="345"/>
      <c r="J1050" s="349"/>
      <c r="L1050" s="325">
        <f t="shared" si="79"/>
        <v>0</v>
      </c>
      <c r="P1050" s="363"/>
      <c r="Q1050" s="363"/>
      <c r="R1050" s="364"/>
    </row>
    <row r="1051" s="325" customFormat="1" ht="16.5" customHeight="1" spans="1:18">
      <c r="A1051" s="347" t="s">
        <v>164</v>
      </c>
      <c r="B1051" s="348"/>
      <c r="C1051" s="348"/>
      <c r="D1051" s="349"/>
      <c r="E1051" s="348"/>
      <c r="F1051" s="345"/>
      <c r="G1051" s="346"/>
      <c r="H1051" s="348">
        <v>1040.689417</v>
      </c>
      <c r="I1051" s="345"/>
      <c r="J1051" s="349"/>
      <c r="L1051" s="325">
        <f t="shared" si="79"/>
        <v>1040.689417</v>
      </c>
      <c r="P1051" s="363"/>
      <c r="Q1051" s="363"/>
      <c r="R1051" s="364"/>
    </row>
    <row r="1052" s="325" customFormat="1" ht="16.5" customHeight="1" spans="1:18">
      <c r="A1052" s="347" t="s">
        <v>929</v>
      </c>
      <c r="B1052" s="348"/>
      <c r="C1052" s="348"/>
      <c r="D1052" s="349"/>
      <c r="E1052" s="348"/>
      <c r="F1052" s="345"/>
      <c r="G1052" s="346"/>
      <c r="H1052" s="348">
        <v>406.08</v>
      </c>
      <c r="I1052" s="345"/>
      <c r="J1052" s="349"/>
      <c r="L1052" s="325">
        <f t="shared" si="79"/>
        <v>406.08</v>
      </c>
      <c r="P1052" s="363"/>
      <c r="Q1052" s="363"/>
      <c r="R1052" s="364"/>
    </row>
    <row r="1053" s="325" customFormat="1" ht="16.5" customHeight="1" spans="1:18">
      <c r="A1053" s="347" t="s">
        <v>930</v>
      </c>
      <c r="B1053" s="348">
        <v>170</v>
      </c>
      <c r="C1053" s="348">
        <v>596</v>
      </c>
      <c r="D1053" s="349">
        <f>C1053/B1053*100</f>
        <v>350.588235294118</v>
      </c>
      <c r="E1053" s="348">
        <v>481</v>
      </c>
      <c r="F1053" s="345">
        <f>C1053-E1053</f>
        <v>115</v>
      </c>
      <c r="G1053" s="346">
        <f>F1053/E1053*100</f>
        <v>23.9085239085239</v>
      </c>
      <c r="H1053" s="348">
        <f>SUM(H1054:H1064)</f>
        <v>261.404455</v>
      </c>
      <c r="I1053" s="345">
        <f>H1053-B1053</f>
        <v>91.404455</v>
      </c>
      <c r="J1053" s="349">
        <f>I1053/B1053*100</f>
        <v>53.7673264705882</v>
      </c>
      <c r="L1053" s="325">
        <f t="shared" si="79"/>
        <v>857.404455</v>
      </c>
      <c r="P1053" s="363"/>
      <c r="Q1053" s="363"/>
      <c r="R1053" s="364"/>
    </row>
    <row r="1054" s="325" customFormat="1" ht="16.5" customHeight="1" spans="1:18">
      <c r="A1054" s="347" t="s">
        <v>155</v>
      </c>
      <c r="B1054" s="348"/>
      <c r="C1054" s="348"/>
      <c r="D1054" s="349"/>
      <c r="E1054" s="348"/>
      <c r="F1054" s="345"/>
      <c r="G1054" s="346"/>
      <c r="H1054" s="348">
        <v>208</v>
      </c>
      <c r="I1054" s="345"/>
      <c r="J1054" s="349"/>
      <c r="L1054" s="325">
        <f t="shared" si="79"/>
        <v>208</v>
      </c>
      <c r="P1054" s="363"/>
      <c r="Q1054" s="363"/>
      <c r="R1054" s="364"/>
    </row>
    <row r="1055" s="325" customFormat="1" ht="16.5" hidden="1" customHeight="1" spans="1:18">
      <c r="A1055" s="347" t="s">
        <v>156</v>
      </c>
      <c r="B1055" s="348"/>
      <c r="C1055" s="348"/>
      <c r="D1055" s="349"/>
      <c r="E1055" s="348"/>
      <c r="F1055" s="345"/>
      <c r="G1055" s="346"/>
      <c r="H1055" s="348">
        <v>0</v>
      </c>
      <c r="I1055" s="345"/>
      <c r="J1055" s="349"/>
      <c r="L1055" s="325">
        <f t="shared" si="79"/>
        <v>0</v>
      </c>
      <c r="P1055" s="363"/>
      <c r="Q1055" s="363"/>
      <c r="R1055" s="364"/>
    </row>
    <row r="1056" s="325" customFormat="1" ht="16.5" hidden="1" customHeight="1" spans="1:18">
      <c r="A1056" s="347" t="s">
        <v>157</v>
      </c>
      <c r="B1056" s="348"/>
      <c r="C1056" s="348"/>
      <c r="D1056" s="349"/>
      <c r="E1056" s="348"/>
      <c r="F1056" s="345"/>
      <c r="G1056" s="346"/>
      <c r="H1056" s="348">
        <v>0</v>
      </c>
      <c r="I1056" s="345"/>
      <c r="J1056" s="349"/>
      <c r="L1056" s="325">
        <f t="shared" si="79"/>
        <v>0</v>
      </c>
      <c r="P1056" s="363"/>
      <c r="Q1056" s="363"/>
      <c r="R1056" s="364"/>
    </row>
    <row r="1057" s="325" customFormat="1" ht="16.5" customHeight="1" spans="1:18">
      <c r="A1057" s="347" t="s">
        <v>931</v>
      </c>
      <c r="B1057" s="348"/>
      <c r="C1057" s="348"/>
      <c r="D1057" s="349"/>
      <c r="E1057" s="348"/>
      <c r="F1057" s="345"/>
      <c r="G1057" s="346"/>
      <c r="H1057" s="348">
        <v>53.404455</v>
      </c>
      <c r="I1057" s="345"/>
      <c r="J1057" s="349"/>
      <c r="L1057" s="325">
        <f t="shared" si="79"/>
        <v>53.404455</v>
      </c>
      <c r="P1057" s="363"/>
      <c r="Q1057" s="363"/>
      <c r="R1057" s="364"/>
    </row>
    <row r="1058" s="325" customFormat="1" ht="16.5" hidden="1" customHeight="1" spans="1:18">
      <c r="A1058" s="347" t="s">
        <v>932</v>
      </c>
      <c r="B1058" s="348"/>
      <c r="C1058" s="348"/>
      <c r="D1058" s="349"/>
      <c r="E1058" s="348"/>
      <c r="F1058" s="345"/>
      <c r="G1058" s="346"/>
      <c r="H1058" s="348">
        <v>0</v>
      </c>
      <c r="I1058" s="345"/>
      <c r="J1058" s="349"/>
      <c r="L1058" s="325">
        <f t="shared" si="79"/>
        <v>0</v>
      </c>
      <c r="P1058" s="363"/>
      <c r="Q1058" s="363"/>
      <c r="R1058" s="364"/>
    </row>
    <row r="1059" s="325" customFormat="1" ht="16.5" hidden="1" customHeight="1" spans="1:18">
      <c r="A1059" s="347" t="s">
        <v>933</v>
      </c>
      <c r="B1059" s="348"/>
      <c r="C1059" s="348"/>
      <c r="D1059" s="349"/>
      <c r="E1059" s="348"/>
      <c r="F1059" s="345"/>
      <c r="G1059" s="346"/>
      <c r="H1059" s="348">
        <v>0</v>
      </c>
      <c r="I1059" s="345"/>
      <c r="J1059" s="349"/>
      <c r="L1059" s="325">
        <f t="shared" si="79"/>
        <v>0</v>
      </c>
      <c r="P1059" s="363"/>
      <c r="Q1059" s="363"/>
      <c r="R1059" s="364"/>
    </row>
    <row r="1060" s="325" customFormat="1" ht="16.5" hidden="1" customHeight="1" spans="1:18">
      <c r="A1060" s="347" t="s">
        <v>934</v>
      </c>
      <c r="B1060" s="348"/>
      <c r="C1060" s="348"/>
      <c r="D1060" s="349"/>
      <c r="E1060" s="348"/>
      <c r="F1060" s="345"/>
      <c r="G1060" s="346"/>
      <c r="H1060" s="348">
        <v>0</v>
      </c>
      <c r="I1060" s="345"/>
      <c r="J1060" s="349"/>
      <c r="L1060" s="325">
        <f t="shared" si="79"/>
        <v>0</v>
      </c>
      <c r="P1060" s="363"/>
      <c r="Q1060" s="363"/>
      <c r="R1060" s="364"/>
    </row>
    <row r="1061" s="325" customFormat="1" ht="16.5" hidden="1" customHeight="1" spans="1:18">
      <c r="A1061" s="347" t="s">
        <v>935</v>
      </c>
      <c r="B1061" s="348"/>
      <c r="C1061" s="348"/>
      <c r="D1061" s="349"/>
      <c r="E1061" s="348"/>
      <c r="F1061" s="345"/>
      <c r="G1061" s="346"/>
      <c r="H1061" s="348">
        <v>0</v>
      </c>
      <c r="I1061" s="345"/>
      <c r="J1061" s="349"/>
      <c r="L1061" s="325">
        <f t="shared" si="79"/>
        <v>0</v>
      </c>
      <c r="P1061" s="363"/>
      <c r="Q1061" s="363"/>
      <c r="R1061" s="364"/>
    </row>
    <row r="1062" s="325" customFormat="1" ht="16.5" hidden="1" customHeight="1" spans="1:18">
      <c r="A1062" s="347" t="s">
        <v>936</v>
      </c>
      <c r="B1062" s="348"/>
      <c r="C1062" s="348"/>
      <c r="D1062" s="349"/>
      <c r="E1062" s="348"/>
      <c r="F1062" s="345"/>
      <c r="G1062" s="346"/>
      <c r="H1062" s="348">
        <v>0</v>
      </c>
      <c r="I1062" s="345"/>
      <c r="J1062" s="349"/>
      <c r="L1062" s="325">
        <f t="shared" si="79"/>
        <v>0</v>
      </c>
      <c r="P1062" s="363"/>
      <c r="Q1062" s="363"/>
      <c r="R1062" s="364"/>
    </row>
    <row r="1063" s="325" customFormat="1" ht="16.5" hidden="1" customHeight="1" spans="1:18">
      <c r="A1063" s="347" t="s">
        <v>937</v>
      </c>
      <c r="B1063" s="348"/>
      <c r="C1063" s="348"/>
      <c r="D1063" s="349"/>
      <c r="E1063" s="348"/>
      <c r="F1063" s="345"/>
      <c r="G1063" s="346"/>
      <c r="H1063" s="348">
        <v>0</v>
      </c>
      <c r="I1063" s="345"/>
      <c r="J1063" s="349"/>
      <c r="L1063" s="325">
        <f t="shared" si="79"/>
        <v>0</v>
      </c>
      <c r="P1063" s="363"/>
      <c r="Q1063" s="363"/>
      <c r="R1063" s="364"/>
    </row>
    <row r="1064" s="325" customFormat="1" ht="16.5" hidden="1" customHeight="1" spans="1:18">
      <c r="A1064" s="347" t="s">
        <v>938</v>
      </c>
      <c r="B1064" s="348"/>
      <c r="C1064" s="348"/>
      <c r="D1064" s="349"/>
      <c r="E1064" s="348"/>
      <c r="F1064" s="345"/>
      <c r="G1064" s="346"/>
      <c r="H1064" s="348">
        <v>0</v>
      </c>
      <c r="I1064" s="345"/>
      <c r="J1064" s="349"/>
      <c r="L1064" s="325">
        <f t="shared" si="79"/>
        <v>0</v>
      </c>
      <c r="P1064" s="363"/>
      <c r="Q1064" s="363"/>
      <c r="R1064" s="364"/>
    </row>
    <row r="1065" s="325" customFormat="1" ht="16.5" hidden="1" customHeight="1" spans="1:18">
      <c r="A1065" s="347" t="s">
        <v>939</v>
      </c>
      <c r="B1065" s="348"/>
      <c r="C1065" s="348"/>
      <c r="D1065" s="349"/>
      <c r="E1065" s="348"/>
      <c r="F1065" s="345"/>
      <c r="G1065" s="346"/>
      <c r="H1065" s="348">
        <v>0</v>
      </c>
      <c r="I1065" s="345"/>
      <c r="J1065" s="349"/>
      <c r="L1065" s="325">
        <f t="shared" si="79"/>
        <v>0</v>
      </c>
      <c r="P1065" s="363"/>
      <c r="Q1065" s="363"/>
      <c r="R1065" s="364"/>
    </row>
    <row r="1066" s="325" customFormat="1" ht="16.5" customHeight="1" spans="1:18">
      <c r="A1066" s="344" t="s">
        <v>940</v>
      </c>
      <c r="B1066" s="345">
        <f>B1067+B1076+B1080</f>
        <v>29120</v>
      </c>
      <c r="C1066" s="345">
        <f>C1067+C1076+C1080</f>
        <v>24128</v>
      </c>
      <c r="D1066" s="349">
        <f t="shared" ref="D1065:D1067" si="85">C1066/B1066*100</f>
        <v>82.8571428571429</v>
      </c>
      <c r="E1066" s="345">
        <f>E1067+E1076+E1080</f>
        <v>26873</v>
      </c>
      <c r="F1066" s="345">
        <f t="shared" ref="F1065:F1067" si="86">C1066-E1066</f>
        <v>-2745</v>
      </c>
      <c r="G1066" s="346">
        <f t="shared" ref="G1065:G1067" si="87">F1066/E1066*100</f>
        <v>-10.2147136531091</v>
      </c>
      <c r="H1066" s="345">
        <f>H1067+H1076+H1080</f>
        <v>31453.187535</v>
      </c>
      <c r="I1066" s="345">
        <f t="shared" ref="I1065:I1067" si="88">H1066-B1066</f>
        <v>2333.187535</v>
      </c>
      <c r="J1066" s="349">
        <f t="shared" ref="J1065:J1067" si="89">I1066/B1066*100</f>
        <v>8.01231983173076</v>
      </c>
      <c r="L1066" s="325">
        <f t="shared" si="79"/>
        <v>55581.187535</v>
      </c>
      <c r="P1066" s="362"/>
      <c r="Q1066" s="362"/>
      <c r="R1066" s="364"/>
    </row>
    <row r="1067" s="325" customFormat="1" ht="16.5" customHeight="1" spans="1:18">
      <c r="A1067" s="347" t="s">
        <v>941</v>
      </c>
      <c r="B1067" s="348">
        <v>6178</v>
      </c>
      <c r="C1067" s="348">
        <v>4913</v>
      </c>
      <c r="D1067" s="349">
        <f t="shared" si="85"/>
        <v>79.5241178374879</v>
      </c>
      <c r="E1067" s="348">
        <v>6554</v>
      </c>
      <c r="F1067" s="345">
        <f t="shared" si="86"/>
        <v>-1641</v>
      </c>
      <c r="G1067" s="346">
        <f t="shared" si="87"/>
        <v>-25.0381446444919</v>
      </c>
      <c r="H1067" s="348">
        <f>SUM(H1068:H1075)</f>
        <v>9074.322924</v>
      </c>
      <c r="I1067" s="345">
        <f t="shared" si="88"/>
        <v>2896.322924</v>
      </c>
      <c r="J1067" s="349">
        <f t="shared" si="89"/>
        <v>46.8812386532859</v>
      </c>
      <c r="L1067" s="325">
        <f t="shared" si="79"/>
        <v>13987.322924</v>
      </c>
      <c r="P1067" s="363"/>
      <c r="Q1067" s="363"/>
      <c r="R1067" s="364"/>
    </row>
    <row r="1068" s="325" customFormat="1" ht="16.5" hidden="1" customHeight="1" spans="1:18">
      <c r="A1068" s="347" t="s">
        <v>942</v>
      </c>
      <c r="B1068" s="348"/>
      <c r="C1068" s="348"/>
      <c r="D1068" s="349"/>
      <c r="E1068" s="348"/>
      <c r="F1068" s="345"/>
      <c r="G1068" s="346"/>
      <c r="H1068" s="348">
        <v>0</v>
      </c>
      <c r="I1068" s="345"/>
      <c r="J1068" s="349"/>
      <c r="L1068" s="325">
        <f t="shared" si="79"/>
        <v>0</v>
      </c>
      <c r="P1068" s="363"/>
      <c r="Q1068" s="363"/>
      <c r="R1068" s="364"/>
    </row>
    <row r="1069" s="325" customFormat="1" ht="16.5" customHeight="1" spans="1:18">
      <c r="A1069" s="347" t="s">
        <v>943</v>
      </c>
      <c r="B1069" s="348"/>
      <c r="C1069" s="348"/>
      <c r="D1069" s="349"/>
      <c r="E1069" s="348"/>
      <c r="F1069" s="345"/>
      <c r="G1069" s="346"/>
      <c r="H1069" s="348">
        <v>886.5</v>
      </c>
      <c r="I1069" s="345"/>
      <c r="J1069" s="349"/>
      <c r="L1069" s="325">
        <f t="shared" si="79"/>
        <v>886.5</v>
      </c>
      <c r="P1069" s="363"/>
      <c r="Q1069" s="363"/>
      <c r="R1069" s="364"/>
    </row>
    <row r="1070" s="325" customFormat="1" ht="16.5" hidden="1" customHeight="1" spans="1:18">
      <c r="A1070" s="347" t="s">
        <v>944</v>
      </c>
      <c r="B1070" s="348"/>
      <c r="C1070" s="348"/>
      <c r="D1070" s="349"/>
      <c r="E1070" s="348"/>
      <c r="F1070" s="345"/>
      <c r="G1070" s="346"/>
      <c r="H1070" s="348">
        <v>0</v>
      </c>
      <c r="I1070" s="345"/>
      <c r="J1070" s="349"/>
      <c r="L1070" s="325">
        <f t="shared" si="79"/>
        <v>0</v>
      </c>
      <c r="P1070" s="363"/>
      <c r="Q1070" s="363"/>
      <c r="R1070" s="364"/>
    </row>
    <row r="1071" s="325" customFormat="1" ht="16.5" customHeight="1" spans="1:18">
      <c r="A1071" s="347" t="s">
        <v>945</v>
      </c>
      <c r="B1071" s="348"/>
      <c r="C1071" s="348"/>
      <c r="D1071" s="349"/>
      <c r="E1071" s="348"/>
      <c r="F1071" s="345"/>
      <c r="G1071" s="346"/>
      <c r="H1071" s="348">
        <v>997.0812</v>
      </c>
      <c r="I1071" s="345"/>
      <c r="J1071" s="349"/>
      <c r="L1071" s="325">
        <f t="shared" si="79"/>
        <v>997.0812</v>
      </c>
      <c r="P1071" s="363"/>
      <c r="Q1071" s="363"/>
      <c r="R1071" s="364"/>
    </row>
    <row r="1072" s="325" customFormat="1" ht="16.5" hidden="1" customHeight="1" spans="1:18">
      <c r="A1072" s="347" t="s">
        <v>946</v>
      </c>
      <c r="B1072" s="375"/>
      <c r="C1072" s="348"/>
      <c r="D1072" s="349"/>
      <c r="E1072" s="348"/>
      <c r="F1072" s="345"/>
      <c r="G1072" s="346"/>
      <c r="H1072" s="348">
        <v>0</v>
      </c>
      <c r="I1072" s="345"/>
      <c r="J1072" s="349"/>
      <c r="L1072" s="325">
        <f t="shared" si="79"/>
        <v>0</v>
      </c>
      <c r="P1072" s="363"/>
      <c r="Q1072" s="363"/>
      <c r="R1072" s="364"/>
    </row>
    <row r="1073" s="325" customFormat="1" ht="16.5" customHeight="1" spans="1:18">
      <c r="A1073" s="347" t="s">
        <v>947</v>
      </c>
      <c r="B1073" s="375"/>
      <c r="C1073" s="348"/>
      <c r="D1073" s="349"/>
      <c r="E1073" s="348"/>
      <c r="F1073" s="345"/>
      <c r="G1073" s="346"/>
      <c r="H1073" s="348">
        <v>5677.59</v>
      </c>
      <c r="I1073" s="345"/>
      <c r="J1073" s="349"/>
      <c r="L1073" s="325">
        <f t="shared" si="79"/>
        <v>5677.59</v>
      </c>
      <c r="P1073" s="363"/>
      <c r="Q1073" s="363"/>
      <c r="R1073" s="364"/>
    </row>
    <row r="1074" s="325" customFormat="1" ht="16.5" customHeight="1" spans="1:18">
      <c r="A1074" s="347" t="s">
        <v>948</v>
      </c>
      <c r="B1074" s="375"/>
      <c r="C1074" s="348"/>
      <c r="D1074" s="349"/>
      <c r="E1074" s="348"/>
      <c r="F1074" s="345"/>
      <c r="G1074" s="346"/>
      <c r="H1074" s="348">
        <v>1500</v>
      </c>
      <c r="I1074" s="345"/>
      <c r="J1074" s="349"/>
      <c r="L1074" s="325">
        <f t="shared" si="79"/>
        <v>1500</v>
      </c>
      <c r="P1074" s="363"/>
      <c r="Q1074" s="363"/>
      <c r="R1074" s="364"/>
    </row>
    <row r="1075" s="325" customFormat="1" ht="16.5" customHeight="1" spans="1:18">
      <c r="A1075" s="347" t="s">
        <v>949</v>
      </c>
      <c r="B1075" s="348"/>
      <c r="C1075" s="348"/>
      <c r="D1075" s="349"/>
      <c r="E1075" s="348"/>
      <c r="F1075" s="345"/>
      <c r="G1075" s="346"/>
      <c r="H1075" s="348">
        <v>13.151724</v>
      </c>
      <c r="I1075" s="345"/>
      <c r="J1075" s="349"/>
      <c r="L1075" s="325">
        <f t="shared" si="79"/>
        <v>13.151724</v>
      </c>
      <c r="P1075" s="363"/>
      <c r="Q1075" s="363"/>
      <c r="R1075" s="364"/>
    </row>
    <row r="1076" s="325" customFormat="1" ht="16.5" customHeight="1" spans="1:18">
      <c r="A1076" s="347" t="s">
        <v>950</v>
      </c>
      <c r="B1076" s="348">
        <v>20162</v>
      </c>
      <c r="C1076" s="348">
        <v>15537</v>
      </c>
      <c r="D1076" s="349">
        <f>C1076/B1076*100</f>
        <v>77.0608074595774</v>
      </c>
      <c r="E1076" s="348">
        <v>17346</v>
      </c>
      <c r="F1076" s="345">
        <f>C1076-E1076</f>
        <v>-1809</v>
      </c>
      <c r="G1076" s="346">
        <f>F1076/E1076*100</f>
        <v>-10.4289173296437</v>
      </c>
      <c r="H1076" s="348">
        <f>SUM(H1077:H1079)</f>
        <v>19885.798494</v>
      </c>
      <c r="I1076" s="345">
        <f>H1076-B1076</f>
        <v>-276.201506000001</v>
      </c>
      <c r="J1076" s="349">
        <f>I1076/B1076*100</f>
        <v>-1.36991124888405</v>
      </c>
      <c r="L1076" s="325">
        <f t="shared" si="79"/>
        <v>35422.798494</v>
      </c>
      <c r="P1076" s="363"/>
      <c r="Q1076" s="363"/>
      <c r="R1076" s="364"/>
    </row>
    <row r="1077" s="325" customFormat="1" ht="16.5" customHeight="1" spans="1:18">
      <c r="A1077" s="365" t="s">
        <v>951</v>
      </c>
      <c r="B1077" s="348"/>
      <c r="C1077" s="348"/>
      <c r="D1077" s="349"/>
      <c r="E1077" s="348"/>
      <c r="F1077" s="345"/>
      <c r="G1077" s="346"/>
      <c r="H1077" s="348">
        <v>19885.798494</v>
      </c>
      <c r="I1077" s="345"/>
      <c r="J1077" s="349"/>
      <c r="L1077" s="325">
        <f t="shared" si="79"/>
        <v>19885.798494</v>
      </c>
      <c r="P1077" s="363"/>
      <c r="Q1077" s="363"/>
      <c r="R1077" s="364"/>
    </row>
    <row r="1078" s="325" customFormat="1" ht="16.5" hidden="1" customHeight="1" spans="1:18">
      <c r="A1078" s="365" t="s">
        <v>952</v>
      </c>
      <c r="B1078" s="348"/>
      <c r="C1078" s="348"/>
      <c r="D1078" s="349"/>
      <c r="E1078" s="348"/>
      <c r="F1078" s="345"/>
      <c r="G1078" s="346"/>
      <c r="H1078" s="348">
        <v>0</v>
      </c>
      <c r="I1078" s="345"/>
      <c r="J1078" s="349"/>
      <c r="L1078" s="325">
        <f t="shared" si="79"/>
        <v>0</v>
      </c>
      <c r="P1078" s="363"/>
      <c r="Q1078" s="363"/>
      <c r="R1078" s="364"/>
    </row>
    <row r="1079" s="325" customFormat="1" ht="16.5" hidden="1" customHeight="1" spans="1:18">
      <c r="A1079" s="365" t="s">
        <v>953</v>
      </c>
      <c r="B1079" s="348"/>
      <c r="C1079" s="348"/>
      <c r="D1079" s="349"/>
      <c r="E1079" s="348"/>
      <c r="F1079" s="345"/>
      <c r="G1079" s="346"/>
      <c r="H1079" s="348">
        <v>0</v>
      </c>
      <c r="I1079" s="345"/>
      <c r="J1079" s="349"/>
      <c r="L1079" s="325">
        <f t="shared" si="79"/>
        <v>0</v>
      </c>
      <c r="P1079" s="363"/>
      <c r="Q1079" s="363"/>
      <c r="R1079" s="364"/>
    </row>
    <row r="1080" s="325" customFormat="1" ht="16.5" customHeight="1" spans="1:18">
      <c r="A1080" s="347" t="s">
        <v>954</v>
      </c>
      <c r="B1080" s="348">
        <v>2780</v>
      </c>
      <c r="C1080" s="348">
        <v>3678</v>
      </c>
      <c r="D1080" s="349">
        <f t="shared" ref="D1080:D1085" si="90">C1080/B1080*100</f>
        <v>132.302158273381</v>
      </c>
      <c r="E1080" s="348">
        <v>2973</v>
      </c>
      <c r="F1080" s="345">
        <f t="shared" ref="F1080:F1085" si="91">C1080-E1080</f>
        <v>705</v>
      </c>
      <c r="G1080" s="346">
        <f t="shared" ref="G1080:G1085" si="92">F1080/E1080*100</f>
        <v>23.7134207870838</v>
      </c>
      <c r="H1080" s="348">
        <f>SUM(H1081:H1083)</f>
        <v>2493.066117</v>
      </c>
      <c r="I1080" s="345">
        <f t="shared" ref="I1080:I1085" si="93">H1080-B1080</f>
        <v>-286.933883</v>
      </c>
      <c r="J1080" s="349">
        <f t="shared" ref="J1080:J1085" si="94">I1080/B1080*100</f>
        <v>-10.3213626978417</v>
      </c>
      <c r="L1080" s="325">
        <f t="shared" si="79"/>
        <v>6171.066117</v>
      </c>
      <c r="P1080" s="363"/>
      <c r="Q1080" s="363"/>
      <c r="R1080" s="364"/>
    </row>
    <row r="1081" s="325" customFormat="1" ht="16.5" hidden="1" customHeight="1" spans="1:18">
      <c r="A1081" s="347" t="s">
        <v>955</v>
      </c>
      <c r="B1081" s="348"/>
      <c r="C1081" s="348"/>
      <c r="D1081" s="349"/>
      <c r="E1081" s="348"/>
      <c r="F1081" s="345"/>
      <c r="G1081" s="346"/>
      <c r="H1081" s="348">
        <v>0</v>
      </c>
      <c r="I1081" s="345"/>
      <c r="J1081" s="349"/>
      <c r="L1081" s="325">
        <f t="shared" si="79"/>
        <v>0</v>
      </c>
      <c r="P1081" s="363"/>
      <c r="Q1081" s="363"/>
      <c r="R1081" s="364"/>
    </row>
    <row r="1082" s="325" customFormat="1" ht="16.5" customHeight="1" spans="1:18">
      <c r="A1082" s="347" t="s">
        <v>956</v>
      </c>
      <c r="B1082" s="348"/>
      <c r="C1082" s="348"/>
      <c r="D1082" s="349"/>
      <c r="E1082" s="348"/>
      <c r="F1082" s="345"/>
      <c r="G1082" s="346"/>
      <c r="H1082" s="348">
        <v>1593.275947</v>
      </c>
      <c r="I1082" s="345"/>
      <c r="J1082" s="349"/>
      <c r="L1082" s="325">
        <f t="shared" si="79"/>
        <v>1593.275947</v>
      </c>
      <c r="P1082" s="363"/>
      <c r="Q1082" s="363"/>
      <c r="R1082" s="364"/>
    </row>
    <row r="1083" s="325" customFormat="1" ht="16.5" customHeight="1" spans="1:18">
      <c r="A1083" s="347" t="s">
        <v>957</v>
      </c>
      <c r="B1083" s="348"/>
      <c r="C1083" s="348"/>
      <c r="D1083" s="349"/>
      <c r="E1083" s="348"/>
      <c r="F1083" s="345"/>
      <c r="G1083" s="346"/>
      <c r="H1083" s="348">
        <v>899.79017</v>
      </c>
      <c r="I1083" s="345"/>
      <c r="J1083" s="349"/>
      <c r="L1083" s="325">
        <f t="shared" si="79"/>
        <v>899.79017</v>
      </c>
      <c r="P1083" s="363"/>
      <c r="Q1083" s="363"/>
      <c r="R1083" s="364"/>
    </row>
    <row r="1084" s="325" customFormat="1" ht="16.5" customHeight="1" spans="1:18">
      <c r="A1084" s="344" t="s">
        <v>958</v>
      </c>
      <c r="B1084" s="345">
        <f>B1085+B1103+B1110+B1116</f>
        <v>847</v>
      </c>
      <c r="C1084" s="345">
        <f>C1085+C1103+C1110+C1116</f>
        <v>124</v>
      </c>
      <c r="D1084" s="349">
        <f t="shared" si="90"/>
        <v>14.6399055489965</v>
      </c>
      <c r="E1084" s="345">
        <f>E1085+E1103+E1110+E1116</f>
        <v>7</v>
      </c>
      <c r="F1084" s="345">
        <f t="shared" si="91"/>
        <v>117</v>
      </c>
      <c r="G1084" s="346">
        <f t="shared" si="92"/>
        <v>1671.42857142857</v>
      </c>
      <c r="H1084" s="345">
        <f>H1085+H1103+H1110+H1116</f>
        <v>295.6</v>
      </c>
      <c r="I1084" s="345">
        <f t="shared" si="93"/>
        <v>-551.4</v>
      </c>
      <c r="J1084" s="349">
        <f t="shared" si="94"/>
        <v>-65.1003541912633</v>
      </c>
      <c r="L1084" s="325">
        <f t="shared" si="79"/>
        <v>419.6</v>
      </c>
      <c r="P1084" s="362"/>
      <c r="Q1084" s="362"/>
      <c r="R1084" s="364"/>
    </row>
    <row r="1085" s="326" customFormat="1" ht="16.5" customHeight="1" spans="1:18">
      <c r="A1085" s="347" t="s">
        <v>959</v>
      </c>
      <c r="B1085" s="348">
        <v>408</v>
      </c>
      <c r="C1085" s="348">
        <v>27</v>
      </c>
      <c r="D1085" s="349">
        <f t="shared" si="90"/>
        <v>6.61764705882353</v>
      </c>
      <c r="E1085" s="348">
        <v>7</v>
      </c>
      <c r="F1085" s="345">
        <f t="shared" si="91"/>
        <v>20</v>
      </c>
      <c r="G1085" s="346">
        <f t="shared" si="92"/>
        <v>285.714285714286</v>
      </c>
      <c r="H1085" s="348">
        <f>SUM(H1086:H1102)</f>
        <v>0</v>
      </c>
      <c r="I1085" s="345">
        <f t="shared" si="93"/>
        <v>-408</v>
      </c>
      <c r="J1085" s="349">
        <f t="shared" si="94"/>
        <v>-100</v>
      </c>
      <c r="K1085" s="325"/>
      <c r="L1085" s="325">
        <f t="shared" si="79"/>
        <v>27</v>
      </c>
      <c r="O1085" s="325"/>
      <c r="P1085" s="363"/>
      <c r="Q1085" s="363"/>
      <c r="R1085" s="364"/>
    </row>
    <row r="1086" s="325" customFormat="1" ht="16.5" hidden="1" customHeight="1" spans="1:18">
      <c r="A1086" s="347" t="s">
        <v>155</v>
      </c>
      <c r="B1086" s="348"/>
      <c r="C1086" s="348"/>
      <c r="D1086" s="349"/>
      <c r="E1086" s="348"/>
      <c r="F1086" s="345"/>
      <c r="G1086" s="346"/>
      <c r="H1086" s="348"/>
      <c r="I1086" s="345"/>
      <c r="J1086" s="349"/>
      <c r="L1086" s="325">
        <f t="shared" si="79"/>
        <v>0</v>
      </c>
      <c r="P1086" s="363"/>
      <c r="Q1086" s="363"/>
      <c r="R1086" s="364"/>
    </row>
    <row r="1087" s="325" customFormat="1" ht="16.5" hidden="1" customHeight="1" spans="1:18">
      <c r="A1087" s="347" t="s">
        <v>156</v>
      </c>
      <c r="B1087" s="348"/>
      <c r="C1087" s="348"/>
      <c r="D1087" s="349"/>
      <c r="E1087" s="348"/>
      <c r="F1087" s="345"/>
      <c r="G1087" s="346"/>
      <c r="H1087" s="348"/>
      <c r="I1087" s="345"/>
      <c r="J1087" s="349"/>
      <c r="L1087" s="325">
        <f t="shared" si="79"/>
        <v>0</v>
      </c>
      <c r="P1087" s="363"/>
      <c r="Q1087" s="363"/>
      <c r="R1087" s="364"/>
    </row>
    <row r="1088" s="325" customFormat="1" ht="16.5" hidden="1" customHeight="1" spans="1:18">
      <c r="A1088" s="347" t="s">
        <v>157</v>
      </c>
      <c r="B1088" s="348"/>
      <c r="C1088" s="348"/>
      <c r="D1088" s="349"/>
      <c r="E1088" s="348"/>
      <c r="F1088" s="345"/>
      <c r="G1088" s="346"/>
      <c r="H1088" s="348"/>
      <c r="I1088" s="345"/>
      <c r="J1088" s="349"/>
      <c r="L1088" s="325">
        <f t="shared" si="79"/>
        <v>0</v>
      </c>
      <c r="P1088" s="363"/>
      <c r="Q1088" s="363"/>
      <c r="R1088" s="364"/>
    </row>
    <row r="1089" s="325" customFormat="1" ht="16.5" hidden="1" customHeight="1" spans="1:18">
      <c r="A1089" s="365" t="s">
        <v>960</v>
      </c>
      <c r="B1089" s="348"/>
      <c r="C1089" s="348"/>
      <c r="D1089" s="349"/>
      <c r="E1089" s="348"/>
      <c r="F1089" s="345"/>
      <c r="G1089" s="346"/>
      <c r="H1089" s="348"/>
      <c r="I1089" s="345"/>
      <c r="J1089" s="349"/>
      <c r="L1089" s="325">
        <f t="shared" si="79"/>
        <v>0</v>
      </c>
      <c r="P1089" s="363"/>
      <c r="Q1089" s="363"/>
      <c r="R1089" s="364"/>
    </row>
    <row r="1090" s="325" customFormat="1" ht="16.5" hidden="1" customHeight="1" spans="1:18">
      <c r="A1090" s="365" t="s">
        <v>961</v>
      </c>
      <c r="B1090" s="348"/>
      <c r="C1090" s="348"/>
      <c r="D1090" s="349"/>
      <c r="E1090" s="348"/>
      <c r="F1090" s="345"/>
      <c r="G1090" s="346"/>
      <c r="H1090" s="348"/>
      <c r="I1090" s="345"/>
      <c r="J1090" s="349"/>
      <c r="L1090" s="325">
        <f t="shared" si="79"/>
        <v>0</v>
      </c>
      <c r="P1090" s="363"/>
      <c r="Q1090" s="363"/>
      <c r="R1090" s="364"/>
    </row>
    <row r="1091" s="325" customFormat="1" ht="16.5" hidden="1" customHeight="1" spans="1:18">
      <c r="A1091" s="365" t="s">
        <v>962</v>
      </c>
      <c r="B1091" s="348"/>
      <c r="C1091" s="348"/>
      <c r="D1091" s="349"/>
      <c r="E1091" s="348"/>
      <c r="F1091" s="345"/>
      <c r="G1091" s="346"/>
      <c r="H1091" s="348"/>
      <c r="I1091" s="345"/>
      <c r="J1091" s="349"/>
      <c r="L1091" s="325">
        <f t="shared" si="79"/>
        <v>0</v>
      </c>
      <c r="P1091" s="363"/>
      <c r="Q1091" s="363"/>
      <c r="R1091" s="364"/>
    </row>
    <row r="1092" s="325" customFormat="1" ht="16.5" hidden="1" customHeight="1" spans="1:18">
      <c r="A1092" s="365" t="s">
        <v>963</v>
      </c>
      <c r="B1092" s="348"/>
      <c r="C1092" s="348"/>
      <c r="D1092" s="349"/>
      <c r="E1092" s="348"/>
      <c r="F1092" s="345"/>
      <c r="G1092" s="346"/>
      <c r="H1092" s="348"/>
      <c r="I1092" s="345"/>
      <c r="J1092" s="349"/>
      <c r="L1092" s="325">
        <f t="shared" si="79"/>
        <v>0</v>
      </c>
      <c r="P1092" s="363"/>
      <c r="Q1092" s="363"/>
      <c r="R1092" s="364"/>
    </row>
    <row r="1093" s="325" customFormat="1" ht="16.5" hidden="1" customHeight="1" spans="1:18">
      <c r="A1093" s="365" t="s">
        <v>964</v>
      </c>
      <c r="B1093" s="348"/>
      <c r="C1093" s="348"/>
      <c r="D1093" s="349"/>
      <c r="E1093" s="348"/>
      <c r="F1093" s="345"/>
      <c r="G1093" s="346"/>
      <c r="H1093" s="348"/>
      <c r="I1093" s="345"/>
      <c r="J1093" s="349"/>
      <c r="L1093" s="325">
        <f t="shared" si="79"/>
        <v>0</v>
      </c>
      <c r="P1093" s="363"/>
      <c r="Q1093" s="363"/>
      <c r="R1093" s="364"/>
    </row>
    <row r="1094" s="325" customFormat="1" ht="16.5" hidden="1" customHeight="1" spans="1:18">
      <c r="A1094" s="365" t="s">
        <v>965</v>
      </c>
      <c r="B1094" s="348"/>
      <c r="C1094" s="348"/>
      <c r="D1094" s="349"/>
      <c r="E1094" s="348"/>
      <c r="F1094" s="345"/>
      <c r="G1094" s="346"/>
      <c r="H1094" s="348"/>
      <c r="I1094" s="345"/>
      <c r="J1094" s="349"/>
      <c r="L1094" s="325">
        <f t="shared" si="79"/>
        <v>0</v>
      </c>
      <c r="P1094" s="363"/>
      <c r="Q1094" s="363"/>
      <c r="R1094" s="364"/>
    </row>
    <row r="1095" s="325" customFormat="1" ht="16.5" hidden="1" customHeight="1" spans="1:18">
      <c r="A1095" s="365" t="s">
        <v>966</v>
      </c>
      <c r="B1095" s="348"/>
      <c r="C1095" s="348"/>
      <c r="D1095" s="349"/>
      <c r="E1095" s="348"/>
      <c r="F1095" s="345"/>
      <c r="G1095" s="346"/>
      <c r="H1095" s="348"/>
      <c r="I1095" s="345"/>
      <c r="J1095" s="349"/>
      <c r="L1095" s="325">
        <f t="shared" si="79"/>
        <v>0</v>
      </c>
      <c r="P1095" s="363"/>
      <c r="Q1095" s="363"/>
      <c r="R1095" s="364"/>
    </row>
    <row r="1096" s="325" customFormat="1" ht="16.5" hidden="1" customHeight="1" spans="1:18">
      <c r="A1096" s="365" t="s">
        <v>967</v>
      </c>
      <c r="B1096" s="348"/>
      <c r="C1096" s="348"/>
      <c r="D1096" s="349"/>
      <c r="E1096" s="348"/>
      <c r="F1096" s="345"/>
      <c r="G1096" s="346"/>
      <c r="H1096" s="348"/>
      <c r="I1096" s="345"/>
      <c r="J1096" s="349"/>
      <c r="L1096" s="325">
        <f t="shared" ref="L1096:L1159" si="95">C1096+H1096</f>
        <v>0</v>
      </c>
      <c r="P1096" s="363"/>
      <c r="Q1096" s="363"/>
      <c r="R1096" s="364"/>
    </row>
    <row r="1097" s="325" customFormat="1" ht="16.5" hidden="1" customHeight="1" spans="1:18">
      <c r="A1097" s="365" t="s">
        <v>968</v>
      </c>
      <c r="B1097" s="348"/>
      <c r="C1097" s="348"/>
      <c r="D1097" s="349"/>
      <c r="E1097" s="348"/>
      <c r="F1097" s="345"/>
      <c r="G1097" s="346"/>
      <c r="H1097" s="348"/>
      <c r="I1097" s="345"/>
      <c r="J1097" s="349"/>
      <c r="L1097" s="325">
        <f t="shared" si="95"/>
        <v>0</v>
      </c>
      <c r="P1097" s="363"/>
      <c r="Q1097" s="363"/>
      <c r="R1097" s="364"/>
    </row>
    <row r="1098" s="325" customFormat="1" ht="16.5" hidden="1" customHeight="1" spans="1:18">
      <c r="A1098" s="365" t="s">
        <v>969</v>
      </c>
      <c r="B1098" s="348"/>
      <c r="C1098" s="348"/>
      <c r="D1098" s="349"/>
      <c r="E1098" s="348"/>
      <c r="F1098" s="345"/>
      <c r="G1098" s="346"/>
      <c r="H1098" s="348"/>
      <c r="I1098" s="345"/>
      <c r="J1098" s="349"/>
      <c r="L1098" s="325">
        <f t="shared" si="95"/>
        <v>0</v>
      </c>
      <c r="P1098" s="363"/>
      <c r="Q1098" s="363"/>
      <c r="R1098" s="364"/>
    </row>
    <row r="1099" s="325" customFormat="1" ht="16.5" hidden="1" customHeight="1" spans="1:18">
      <c r="A1099" s="365" t="s">
        <v>970</v>
      </c>
      <c r="B1099" s="348"/>
      <c r="C1099" s="348"/>
      <c r="D1099" s="349"/>
      <c r="E1099" s="348"/>
      <c r="F1099" s="345"/>
      <c r="G1099" s="346"/>
      <c r="H1099" s="348"/>
      <c r="I1099" s="345"/>
      <c r="J1099" s="349"/>
      <c r="L1099" s="325">
        <f t="shared" si="95"/>
        <v>0</v>
      </c>
      <c r="P1099" s="363"/>
      <c r="Q1099" s="363"/>
      <c r="R1099" s="364"/>
    </row>
    <row r="1100" s="325" customFormat="1" ht="16.5" hidden="1" customHeight="1" spans="1:18">
      <c r="A1100" s="365" t="s">
        <v>971</v>
      </c>
      <c r="B1100" s="348"/>
      <c r="C1100" s="348"/>
      <c r="D1100" s="349"/>
      <c r="E1100" s="348"/>
      <c r="F1100" s="345"/>
      <c r="G1100" s="346"/>
      <c r="H1100" s="348"/>
      <c r="I1100" s="345"/>
      <c r="J1100" s="349"/>
      <c r="L1100" s="325">
        <f t="shared" si="95"/>
        <v>0</v>
      </c>
      <c r="P1100" s="363"/>
      <c r="Q1100" s="363"/>
      <c r="R1100" s="364"/>
    </row>
    <row r="1101" s="325" customFormat="1" ht="16.5" hidden="1" customHeight="1" spans="1:18">
      <c r="A1101" s="365" t="s">
        <v>164</v>
      </c>
      <c r="B1101" s="348"/>
      <c r="C1101" s="348"/>
      <c r="D1101" s="349"/>
      <c r="E1101" s="348"/>
      <c r="F1101" s="345"/>
      <c r="G1101" s="346"/>
      <c r="H1101" s="348"/>
      <c r="I1101" s="345"/>
      <c r="J1101" s="349"/>
      <c r="L1101" s="325">
        <f t="shared" si="95"/>
        <v>0</v>
      </c>
      <c r="P1101" s="363"/>
      <c r="Q1101" s="363"/>
      <c r="R1101" s="364"/>
    </row>
    <row r="1102" s="325" customFormat="1" ht="16.5" hidden="1" customHeight="1" spans="1:18">
      <c r="A1102" s="365" t="s">
        <v>972</v>
      </c>
      <c r="B1102" s="348"/>
      <c r="C1102" s="348"/>
      <c r="D1102" s="349"/>
      <c r="E1102" s="348"/>
      <c r="F1102" s="345"/>
      <c r="G1102" s="346"/>
      <c r="H1102" s="348"/>
      <c r="I1102" s="345"/>
      <c r="J1102" s="349"/>
      <c r="L1102" s="325">
        <f t="shared" si="95"/>
        <v>0</v>
      </c>
      <c r="P1102" s="363"/>
      <c r="Q1102" s="363"/>
      <c r="R1102" s="364"/>
    </row>
    <row r="1103" s="326" customFormat="1" ht="16.5" hidden="1" customHeight="1" spans="1:18">
      <c r="A1103" s="347" t="s">
        <v>973</v>
      </c>
      <c r="B1103" s="348"/>
      <c r="C1103" s="348"/>
      <c r="D1103" s="349"/>
      <c r="E1103" s="348"/>
      <c r="F1103" s="345"/>
      <c r="G1103" s="346"/>
      <c r="H1103" s="348"/>
      <c r="I1103" s="345"/>
      <c r="J1103" s="349"/>
      <c r="K1103" s="325"/>
      <c r="L1103" s="325">
        <f t="shared" si="95"/>
        <v>0</v>
      </c>
      <c r="O1103" s="325"/>
      <c r="P1103" s="363"/>
      <c r="Q1103" s="363"/>
      <c r="R1103" s="364"/>
    </row>
    <row r="1104" s="326" customFormat="1" ht="16.5" hidden="1" customHeight="1" spans="1:18">
      <c r="A1104" s="347" t="s">
        <v>974</v>
      </c>
      <c r="B1104" s="348"/>
      <c r="C1104" s="348"/>
      <c r="D1104" s="349"/>
      <c r="E1104" s="348"/>
      <c r="F1104" s="345"/>
      <c r="G1104" s="346"/>
      <c r="H1104" s="348"/>
      <c r="I1104" s="345"/>
      <c r="J1104" s="349"/>
      <c r="K1104" s="325"/>
      <c r="L1104" s="325">
        <f t="shared" si="95"/>
        <v>0</v>
      </c>
      <c r="O1104" s="325"/>
      <c r="P1104" s="363"/>
      <c r="Q1104" s="363"/>
      <c r="R1104" s="364"/>
    </row>
    <row r="1105" s="326" customFormat="1" ht="16.5" hidden="1" customHeight="1" spans="1:18">
      <c r="A1105" s="347" t="s">
        <v>975</v>
      </c>
      <c r="B1105" s="348"/>
      <c r="C1105" s="348"/>
      <c r="D1105" s="349"/>
      <c r="E1105" s="348"/>
      <c r="F1105" s="345"/>
      <c r="G1105" s="346"/>
      <c r="H1105" s="348"/>
      <c r="I1105" s="345"/>
      <c r="J1105" s="349"/>
      <c r="K1105" s="325"/>
      <c r="L1105" s="325">
        <f t="shared" si="95"/>
        <v>0</v>
      </c>
      <c r="O1105" s="325"/>
      <c r="P1105" s="363"/>
      <c r="Q1105" s="363"/>
      <c r="R1105" s="364"/>
    </row>
    <row r="1106" s="326" customFormat="1" ht="16.5" hidden="1" customHeight="1" spans="1:18">
      <c r="A1106" s="347" t="s">
        <v>976</v>
      </c>
      <c r="B1106" s="348"/>
      <c r="C1106" s="348"/>
      <c r="D1106" s="349"/>
      <c r="E1106" s="348"/>
      <c r="F1106" s="345"/>
      <c r="G1106" s="346"/>
      <c r="H1106" s="348"/>
      <c r="I1106" s="345"/>
      <c r="J1106" s="349"/>
      <c r="K1106" s="325"/>
      <c r="L1106" s="325">
        <f t="shared" si="95"/>
        <v>0</v>
      </c>
      <c r="O1106" s="325"/>
      <c r="P1106" s="363"/>
      <c r="Q1106" s="363"/>
      <c r="R1106" s="364"/>
    </row>
    <row r="1107" s="326" customFormat="1" ht="16.5" hidden="1" customHeight="1" spans="1:18">
      <c r="A1107" s="347" t="s">
        <v>977</v>
      </c>
      <c r="B1107" s="348"/>
      <c r="C1107" s="348"/>
      <c r="D1107" s="349"/>
      <c r="E1107" s="348"/>
      <c r="F1107" s="345"/>
      <c r="G1107" s="346"/>
      <c r="H1107" s="348"/>
      <c r="I1107" s="345"/>
      <c r="J1107" s="349"/>
      <c r="K1107" s="325"/>
      <c r="L1107" s="325">
        <f t="shared" si="95"/>
        <v>0</v>
      </c>
      <c r="O1107" s="325"/>
      <c r="P1107" s="363"/>
      <c r="Q1107" s="363"/>
      <c r="R1107" s="364"/>
    </row>
    <row r="1108" s="326" customFormat="1" ht="16.5" hidden="1" customHeight="1" spans="1:18">
      <c r="A1108" s="347" t="s">
        <v>978</v>
      </c>
      <c r="B1108" s="348"/>
      <c r="C1108" s="348"/>
      <c r="D1108" s="349"/>
      <c r="E1108" s="348"/>
      <c r="F1108" s="345"/>
      <c r="G1108" s="346"/>
      <c r="H1108" s="348"/>
      <c r="I1108" s="345"/>
      <c r="J1108" s="349"/>
      <c r="K1108" s="325"/>
      <c r="L1108" s="325">
        <f t="shared" si="95"/>
        <v>0</v>
      </c>
      <c r="O1108" s="325"/>
      <c r="P1108" s="363"/>
      <c r="Q1108" s="363"/>
      <c r="R1108" s="364"/>
    </row>
    <row r="1109" s="326" customFormat="1" ht="16.5" hidden="1" customHeight="1" spans="1:18">
      <c r="A1109" s="347" t="s">
        <v>979</v>
      </c>
      <c r="B1109" s="348"/>
      <c r="C1109" s="348"/>
      <c r="D1109" s="349"/>
      <c r="E1109" s="348"/>
      <c r="F1109" s="345"/>
      <c r="G1109" s="346"/>
      <c r="H1109" s="348"/>
      <c r="I1109" s="345"/>
      <c r="J1109" s="349"/>
      <c r="K1109" s="325"/>
      <c r="L1109" s="325">
        <f t="shared" si="95"/>
        <v>0</v>
      </c>
      <c r="O1109" s="325"/>
      <c r="P1109" s="363"/>
      <c r="Q1109" s="363"/>
      <c r="R1109" s="364"/>
    </row>
    <row r="1110" s="326" customFormat="1" ht="16.5" customHeight="1" spans="1:18">
      <c r="A1110" s="347" t="s">
        <v>980</v>
      </c>
      <c r="B1110" s="348">
        <v>57</v>
      </c>
      <c r="C1110" s="348">
        <v>47</v>
      </c>
      <c r="D1110" s="349">
        <f>C1110/B1110*100</f>
        <v>82.4561403508772</v>
      </c>
      <c r="E1110" s="348"/>
      <c r="F1110" s="345">
        <f>C1110-E1110</f>
        <v>47</v>
      </c>
      <c r="G1110" s="346"/>
      <c r="H1110" s="348">
        <f>SUM(H1111:H1115)</f>
        <v>142.8</v>
      </c>
      <c r="I1110" s="345">
        <f>H1110-B1110</f>
        <v>85.8</v>
      </c>
      <c r="J1110" s="349">
        <f>I1110/B1110*100</f>
        <v>150.526315789474</v>
      </c>
      <c r="K1110" s="325"/>
      <c r="L1110" s="325">
        <f t="shared" si="95"/>
        <v>189.8</v>
      </c>
      <c r="O1110" s="325"/>
      <c r="P1110" s="363"/>
      <c r="Q1110" s="363"/>
      <c r="R1110" s="364"/>
    </row>
    <row r="1111" ht="16.5" customHeight="1" spans="1:18">
      <c r="A1111" s="347" t="s">
        <v>981</v>
      </c>
      <c r="B1111" s="348"/>
      <c r="C1111" s="348"/>
      <c r="D1111" s="349"/>
      <c r="E1111" s="348"/>
      <c r="F1111" s="345"/>
      <c r="G1111" s="346"/>
      <c r="H1111" s="348">
        <v>22.8</v>
      </c>
      <c r="I1111" s="345"/>
      <c r="J1111" s="349"/>
      <c r="K1111" s="325"/>
      <c r="L1111" s="325">
        <f t="shared" si="95"/>
        <v>22.8</v>
      </c>
      <c r="O1111" s="325"/>
      <c r="P1111" s="363"/>
      <c r="Q1111" s="363"/>
      <c r="R1111" s="364"/>
    </row>
    <row r="1112" ht="16.5" hidden="1" customHeight="1" spans="1:18">
      <c r="A1112" s="347" t="s">
        <v>982</v>
      </c>
      <c r="B1112" s="348"/>
      <c r="C1112" s="348"/>
      <c r="D1112" s="349"/>
      <c r="E1112" s="348"/>
      <c r="F1112" s="345"/>
      <c r="G1112" s="346"/>
      <c r="H1112" s="348">
        <v>0</v>
      </c>
      <c r="I1112" s="345"/>
      <c r="J1112" s="349"/>
      <c r="K1112" s="325"/>
      <c r="L1112" s="325">
        <f t="shared" si="95"/>
        <v>0</v>
      </c>
      <c r="O1112" s="325"/>
      <c r="P1112" s="363"/>
      <c r="Q1112" s="363"/>
      <c r="R1112" s="364"/>
    </row>
    <row r="1113" ht="16.5" hidden="1" customHeight="1" spans="1:18">
      <c r="A1113" s="347" t="s">
        <v>983</v>
      </c>
      <c r="B1113" s="348"/>
      <c r="C1113" s="348"/>
      <c r="D1113" s="349"/>
      <c r="E1113" s="348"/>
      <c r="F1113" s="345"/>
      <c r="G1113" s="346"/>
      <c r="H1113" s="348">
        <v>0</v>
      </c>
      <c r="I1113" s="345"/>
      <c r="J1113" s="349"/>
      <c r="K1113" s="325"/>
      <c r="L1113" s="325">
        <f t="shared" si="95"/>
        <v>0</v>
      </c>
      <c r="O1113" s="325"/>
      <c r="P1113" s="363"/>
      <c r="Q1113" s="363"/>
      <c r="R1113" s="364"/>
    </row>
    <row r="1114" ht="16.5" hidden="1" customHeight="1" spans="1:18">
      <c r="A1114" s="347" t="s">
        <v>984</v>
      </c>
      <c r="B1114" s="348"/>
      <c r="C1114" s="348"/>
      <c r="D1114" s="349"/>
      <c r="E1114" s="348"/>
      <c r="F1114" s="345"/>
      <c r="G1114" s="346"/>
      <c r="H1114" s="348">
        <v>0</v>
      </c>
      <c r="I1114" s="345"/>
      <c r="J1114" s="349"/>
      <c r="K1114" s="325"/>
      <c r="L1114" s="325">
        <f t="shared" si="95"/>
        <v>0</v>
      </c>
      <c r="O1114" s="325"/>
      <c r="P1114" s="363"/>
      <c r="Q1114" s="363"/>
      <c r="R1114" s="364"/>
    </row>
    <row r="1115" ht="16.5" customHeight="1" spans="1:18">
      <c r="A1115" s="347" t="s">
        <v>985</v>
      </c>
      <c r="B1115" s="348"/>
      <c r="C1115" s="348"/>
      <c r="D1115" s="349"/>
      <c r="E1115" s="348"/>
      <c r="F1115" s="345"/>
      <c r="G1115" s="346"/>
      <c r="H1115" s="348">
        <v>120</v>
      </c>
      <c r="I1115" s="345"/>
      <c r="J1115" s="349"/>
      <c r="K1115" s="325"/>
      <c r="L1115" s="325">
        <f t="shared" si="95"/>
        <v>120</v>
      </c>
      <c r="O1115" s="325"/>
      <c r="P1115" s="363"/>
      <c r="Q1115" s="363"/>
      <c r="R1115" s="364"/>
    </row>
    <row r="1116" s="326" customFormat="1" ht="16.5" customHeight="1" spans="1:18">
      <c r="A1116" s="347" t="s">
        <v>986</v>
      </c>
      <c r="B1116" s="348">
        <v>382</v>
      </c>
      <c r="C1116" s="348">
        <v>50</v>
      </c>
      <c r="D1116" s="349">
        <f>C1116/B1116*100</f>
        <v>13.0890052356021</v>
      </c>
      <c r="E1116" s="348"/>
      <c r="F1116" s="345">
        <f>C1116-E1116</f>
        <v>50</v>
      </c>
      <c r="G1116" s="346"/>
      <c r="H1116" s="348">
        <f>SUM(H1117:H1128)</f>
        <v>152.8</v>
      </c>
      <c r="I1116" s="345">
        <f>H1116-B1116</f>
        <v>-229.2</v>
      </c>
      <c r="J1116" s="349">
        <f>I1116/B1116*100</f>
        <v>-60</v>
      </c>
      <c r="K1116" s="325"/>
      <c r="L1116" s="325">
        <f t="shared" si="95"/>
        <v>202.8</v>
      </c>
      <c r="O1116" s="325"/>
      <c r="P1116" s="363"/>
      <c r="Q1116" s="363"/>
      <c r="R1116" s="364"/>
    </row>
    <row r="1117" ht="16.5" hidden="1" customHeight="1" spans="1:18">
      <c r="A1117" s="347" t="s">
        <v>987</v>
      </c>
      <c r="B1117" s="348"/>
      <c r="C1117" s="348"/>
      <c r="D1117" s="349"/>
      <c r="E1117" s="348"/>
      <c r="F1117" s="345"/>
      <c r="G1117" s="346"/>
      <c r="H1117" s="348">
        <v>0</v>
      </c>
      <c r="I1117" s="345"/>
      <c r="J1117" s="349"/>
      <c r="K1117" s="325"/>
      <c r="L1117" s="325">
        <f t="shared" si="95"/>
        <v>0</v>
      </c>
      <c r="O1117" s="325"/>
      <c r="P1117" s="363"/>
      <c r="Q1117" s="363"/>
      <c r="R1117" s="364"/>
    </row>
    <row r="1118" ht="16.5" hidden="1" customHeight="1" spans="1:18">
      <c r="A1118" s="347" t="s">
        <v>988</v>
      </c>
      <c r="B1118" s="348"/>
      <c r="C1118" s="348"/>
      <c r="D1118" s="349"/>
      <c r="E1118" s="348"/>
      <c r="F1118" s="345"/>
      <c r="G1118" s="346"/>
      <c r="H1118" s="348">
        <v>0</v>
      </c>
      <c r="I1118" s="345"/>
      <c r="J1118" s="349"/>
      <c r="K1118" s="325"/>
      <c r="L1118" s="325">
        <f t="shared" si="95"/>
        <v>0</v>
      </c>
      <c r="O1118" s="325"/>
      <c r="P1118" s="363"/>
      <c r="Q1118" s="363"/>
      <c r="R1118" s="364"/>
    </row>
    <row r="1119" ht="16.5" customHeight="1" spans="1:18">
      <c r="A1119" s="347" t="s">
        <v>989</v>
      </c>
      <c r="B1119" s="348"/>
      <c r="C1119" s="348"/>
      <c r="D1119" s="349"/>
      <c r="E1119" s="348"/>
      <c r="F1119" s="345"/>
      <c r="G1119" s="346"/>
      <c r="H1119" s="348">
        <v>152.8</v>
      </c>
      <c r="I1119" s="345"/>
      <c r="J1119" s="349"/>
      <c r="K1119" s="325"/>
      <c r="L1119" s="325">
        <f t="shared" si="95"/>
        <v>152.8</v>
      </c>
      <c r="O1119" s="325"/>
      <c r="P1119" s="363"/>
      <c r="Q1119" s="363"/>
      <c r="R1119" s="364"/>
    </row>
    <row r="1120" ht="16.5" hidden="1" customHeight="1" spans="1:18">
      <c r="A1120" s="347" t="s">
        <v>990</v>
      </c>
      <c r="B1120" s="348"/>
      <c r="C1120" s="348"/>
      <c r="D1120" s="349"/>
      <c r="E1120" s="348"/>
      <c r="F1120" s="345"/>
      <c r="G1120" s="346"/>
      <c r="H1120" s="348">
        <v>0</v>
      </c>
      <c r="I1120" s="345"/>
      <c r="J1120" s="349"/>
      <c r="K1120" s="325"/>
      <c r="L1120" s="325">
        <f t="shared" si="95"/>
        <v>0</v>
      </c>
      <c r="O1120" s="325"/>
      <c r="P1120" s="363"/>
      <c r="Q1120" s="363"/>
      <c r="R1120" s="364"/>
    </row>
    <row r="1121" ht="16.5" hidden="1" customHeight="1" spans="1:18">
      <c r="A1121" s="347" t="s">
        <v>991</v>
      </c>
      <c r="B1121" s="348"/>
      <c r="C1121" s="348"/>
      <c r="D1121" s="349"/>
      <c r="E1121" s="348"/>
      <c r="F1121" s="345"/>
      <c r="G1121" s="346"/>
      <c r="H1121" s="348">
        <v>0</v>
      </c>
      <c r="I1121" s="345"/>
      <c r="J1121" s="349"/>
      <c r="K1121" s="325"/>
      <c r="L1121" s="325">
        <f t="shared" si="95"/>
        <v>0</v>
      </c>
      <c r="O1121" s="325"/>
      <c r="P1121" s="363"/>
      <c r="Q1121" s="363"/>
      <c r="R1121" s="364"/>
    </row>
    <row r="1122" ht="16.5" hidden="1" customHeight="1" spans="1:18">
      <c r="A1122" s="347" t="s">
        <v>992</v>
      </c>
      <c r="B1122" s="348"/>
      <c r="C1122" s="348"/>
      <c r="D1122" s="349"/>
      <c r="E1122" s="348"/>
      <c r="F1122" s="345"/>
      <c r="G1122" s="346"/>
      <c r="H1122" s="348">
        <v>0</v>
      </c>
      <c r="I1122" s="345"/>
      <c r="J1122" s="349"/>
      <c r="K1122" s="325"/>
      <c r="L1122" s="325">
        <f t="shared" si="95"/>
        <v>0</v>
      </c>
      <c r="O1122" s="325"/>
      <c r="P1122" s="363"/>
      <c r="Q1122" s="363"/>
      <c r="R1122" s="364"/>
    </row>
    <row r="1123" ht="16.5" hidden="1" customHeight="1" spans="1:18">
      <c r="A1123" s="347" t="s">
        <v>993</v>
      </c>
      <c r="B1123" s="348"/>
      <c r="C1123" s="348"/>
      <c r="D1123" s="349"/>
      <c r="E1123" s="348"/>
      <c r="F1123" s="345"/>
      <c r="G1123" s="346"/>
      <c r="H1123" s="348">
        <v>0</v>
      </c>
      <c r="I1123" s="345"/>
      <c r="J1123" s="349"/>
      <c r="K1123" s="325"/>
      <c r="L1123" s="325">
        <f t="shared" si="95"/>
        <v>0</v>
      </c>
      <c r="O1123" s="325"/>
      <c r="P1123" s="363"/>
      <c r="Q1123" s="363"/>
      <c r="R1123" s="364"/>
    </row>
    <row r="1124" ht="16.5" hidden="1" customHeight="1" spans="1:18">
      <c r="A1124" s="347" t="s">
        <v>994</v>
      </c>
      <c r="B1124" s="348"/>
      <c r="C1124" s="348"/>
      <c r="D1124" s="349"/>
      <c r="E1124" s="348"/>
      <c r="F1124" s="345"/>
      <c r="G1124" s="346"/>
      <c r="H1124" s="348">
        <v>0</v>
      </c>
      <c r="I1124" s="345"/>
      <c r="J1124" s="349"/>
      <c r="K1124" s="325"/>
      <c r="L1124" s="325">
        <f t="shared" si="95"/>
        <v>0</v>
      </c>
      <c r="O1124" s="325"/>
      <c r="P1124" s="363"/>
      <c r="Q1124" s="363"/>
      <c r="R1124" s="364"/>
    </row>
    <row r="1125" ht="16.5" hidden="1" customHeight="1" spans="1:18">
      <c r="A1125" s="347" t="s">
        <v>995</v>
      </c>
      <c r="B1125" s="348"/>
      <c r="C1125" s="348"/>
      <c r="D1125" s="349"/>
      <c r="E1125" s="348"/>
      <c r="F1125" s="345"/>
      <c r="G1125" s="346"/>
      <c r="H1125" s="348">
        <v>0</v>
      </c>
      <c r="I1125" s="345"/>
      <c r="J1125" s="349"/>
      <c r="K1125" s="325"/>
      <c r="L1125" s="325">
        <f t="shared" si="95"/>
        <v>0</v>
      </c>
      <c r="O1125" s="325"/>
      <c r="P1125" s="363"/>
      <c r="Q1125" s="363"/>
      <c r="R1125" s="364"/>
    </row>
    <row r="1126" ht="16.5" hidden="1" customHeight="1" spans="1:18">
      <c r="A1126" s="347" t="s">
        <v>996</v>
      </c>
      <c r="B1126" s="348"/>
      <c r="C1126" s="348"/>
      <c r="D1126" s="349"/>
      <c r="E1126" s="348"/>
      <c r="F1126" s="345"/>
      <c r="G1126" s="346"/>
      <c r="H1126" s="348">
        <v>0</v>
      </c>
      <c r="I1126" s="345"/>
      <c r="J1126" s="349"/>
      <c r="K1126" s="325"/>
      <c r="L1126" s="325">
        <f t="shared" si="95"/>
        <v>0</v>
      </c>
      <c r="O1126" s="325"/>
      <c r="P1126" s="363"/>
      <c r="Q1126" s="363"/>
      <c r="R1126" s="364"/>
    </row>
    <row r="1127" ht="16.5" hidden="1" customHeight="1" spans="1:18">
      <c r="A1127" s="347" t="s">
        <v>997</v>
      </c>
      <c r="B1127" s="348"/>
      <c r="C1127" s="348"/>
      <c r="D1127" s="349"/>
      <c r="E1127" s="348"/>
      <c r="F1127" s="345"/>
      <c r="G1127" s="346"/>
      <c r="H1127" s="348">
        <v>0</v>
      </c>
      <c r="I1127" s="345"/>
      <c r="J1127" s="349"/>
      <c r="K1127" s="325"/>
      <c r="L1127" s="325">
        <f t="shared" si="95"/>
        <v>0</v>
      </c>
      <c r="O1127" s="325"/>
      <c r="P1127" s="363"/>
      <c r="Q1127" s="363"/>
      <c r="R1127" s="364"/>
    </row>
    <row r="1128" ht="16.5" hidden="1" customHeight="1" spans="1:18">
      <c r="A1128" s="347" t="s">
        <v>998</v>
      </c>
      <c r="B1128" s="348"/>
      <c r="C1128" s="348"/>
      <c r="D1128" s="349"/>
      <c r="E1128" s="348"/>
      <c r="F1128" s="345"/>
      <c r="G1128" s="346"/>
      <c r="H1128" s="348">
        <v>0</v>
      </c>
      <c r="I1128" s="345"/>
      <c r="J1128" s="349"/>
      <c r="K1128" s="325"/>
      <c r="L1128" s="325">
        <f t="shared" si="95"/>
        <v>0</v>
      </c>
      <c r="O1128" s="325"/>
      <c r="P1128" s="363"/>
      <c r="Q1128" s="363"/>
      <c r="R1128" s="364"/>
    </row>
    <row r="1129" s="325" customFormat="1" ht="16.5" customHeight="1" spans="1:18">
      <c r="A1129" s="344" t="s">
        <v>999</v>
      </c>
      <c r="B1129" s="345">
        <f>B1130+B1140+B1147+B1148+B1161+B1165+B1169</f>
        <v>3151</v>
      </c>
      <c r="C1129" s="345">
        <f>C1130+C1140+C1147+C1148+C1161+C1165+C1169</f>
        <v>4918.11</v>
      </c>
      <c r="D1129" s="349">
        <f>C1129/B1129*100</f>
        <v>156.08092668994</v>
      </c>
      <c r="E1129" s="345">
        <f>E1130+E1140+E1147+E1148+E1161+E1165+E1169</f>
        <v>3246</v>
      </c>
      <c r="F1129" s="345">
        <f>C1129-E1129</f>
        <v>1672.11</v>
      </c>
      <c r="G1129" s="346">
        <f>F1129/E1129*100</f>
        <v>51.5129390018484</v>
      </c>
      <c r="H1129" s="345">
        <f>H1130+H1140+H1147+H1148+H1161+H1165+H1169</f>
        <v>3058.882435</v>
      </c>
      <c r="I1129" s="345">
        <f>H1129-B1129</f>
        <v>-92.1175649999996</v>
      </c>
      <c r="J1129" s="349">
        <f>I1129/B1129*100</f>
        <v>-2.92343906696285</v>
      </c>
      <c r="L1129" s="325">
        <f t="shared" si="95"/>
        <v>7976.992435</v>
      </c>
      <c r="P1129" s="362"/>
      <c r="Q1129" s="362"/>
      <c r="R1129" s="364"/>
    </row>
    <row r="1130" s="326" customFormat="1" ht="16.5" customHeight="1" spans="1:18">
      <c r="A1130" s="347" t="s">
        <v>1000</v>
      </c>
      <c r="B1130" s="348">
        <v>1242</v>
      </c>
      <c r="C1130" s="348">
        <v>1602</v>
      </c>
      <c r="D1130" s="349">
        <f>C1130/B1130*100</f>
        <v>128.985507246377</v>
      </c>
      <c r="E1130" s="348">
        <v>1354</v>
      </c>
      <c r="F1130" s="345">
        <f>C1130-E1130</f>
        <v>248</v>
      </c>
      <c r="G1130" s="346">
        <f>F1130/E1130*100</f>
        <v>18.3161004431315</v>
      </c>
      <c r="H1130" s="348">
        <f>SUM(H1131:H1139)</f>
        <v>1637.11851</v>
      </c>
      <c r="I1130" s="345">
        <f>H1130-B1130</f>
        <v>395.11851</v>
      </c>
      <c r="J1130" s="349">
        <f>I1130/B1130*100</f>
        <v>31.8130845410628</v>
      </c>
      <c r="K1130" s="325"/>
      <c r="L1130" s="325">
        <f t="shared" si="95"/>
        <v>3239.11851</v>
      </c>
      <c r="O1130" s="325"/>
      <c r="P1130" s="363"/>
      <c r="Q1130" s="363"/>
      <c r="R1130" s="364"/>
    </row>
    <row r="1131" ht="16.5" customHeight="1" spans="1:18">
      <c r="A1131" s="365" t="s">
        <v>155</v>
      </c>
      <c r="B1131" s="348"/>
      <c r="C1131" s="348"/>
      <c r="D1131" s="349"/>
      <c r="E1131" s="348"/>
      <c r="F1131" s="345"/>
      <c r="G1131" s="346"/>
      <c r="H1131" s="348">
        <v>822.26851</v>
      </c>
      <c r="I1131" s="345"/>
      <c r="J1131" s="349"/>
      <c r="K1131" s="325"/>
      <c r="L1131" s="325">
        <f t="shared" si="95"/>
        <v>822.26851</v>
      </c>
      <c r="O1131" s="325"/>
      <c r="P1131" s="363"/>
      <c r="Q1131" s="363"/>
      <c r="R1131" s="364"/>
    </row>
    <row r="1132" ht="16.5" hidden="1" customHeight="1" spans="1:18">
      <c r="A1132" s="347" t="s">
        <v>156</v>
      </c>
      <c r="B1132" s="348"/>
      <c r="C1132" s="348"/>
      <c r="D1132" s="349"/>
      <c r="E1132" s="348"/>
      <c r="F1132" s="345"/>
      <c r="G1132" s="346"/>
      <c r="H1132" s="348">
        <v>0</v>
      </c>
      <c r="I1132" s="345"/>
      <c r="J1132" s="349"/>
      <c r="K1132" s="325"/>
      <c r="L1132" s="325">
        <f t="shared" si="95"/>
        <v>0</v>
      </c>
      <c r="O1132" s="325"/>
      <c r="P1132" s="363"/>
      <c r="Q1132" s="363"/>
      <c r="R1132" s="364"/>
    </row>
    <row r="1133" ht="16.5" hidden="1" customHeight="1" spans="1:18">
      <c r="A1133" s="347" t="s">
        <v>157</v>
      </c>
      <c r="B1133" s="348"/>
      <c r="C1133" s="348"/>
      <c r="D1133" s="349"/>
      <c r="E1133" s="348"/>
      <c r="F1133" s="345"/>
      <c r="G1133" s="346"/>
      <c r="H1133" s="348">
        <v>0</v>
      </c>
      <c r="I1133" s="345"/>
      <c r="J1133" s="349"/>
      <c r="K1133" s="325"/>
      <c r="L1133" s="325">
        <f t="shared" si="95"/>
        <v>0</v>
      </c>
      <c r="O1133" s="325"/>
      <c r="P1133" s="363"/>
      <c r="Q1133" s="363"/>
      <c r="R1133" s="364"/>
    </row>
    <row r="1134" ht="16.5" hidden="1" customHeight="1" spans="1:18">
      <c r="A1134" s="347" t="s">
        <v>1001</v>
      </c>
      <c r="B1134" s="348"/>
      <c r="C1134" s="348"/>
      <c r="D1134" s="349"/>
      <c r="E1134" s="348"/>
      <c r="F1134" s="345"/>
      <c r="G1134" s="346"/>
      <c r="H1134" s="348">
        <v>0</v>
      </c>
      <c r="I1134" s="345"/>
      <c r="J1134" s="349"/>
      <c r="K1134" s="325"/>
      <c r="L1134" s="325">
        <f t="shared" si="95"/>
        <v>0</v>
      </c>
      <c r="O1134" s="325"/>
      <c r="P1134" s="363"/>
      <c r="Q1134" s="363"/>
      <c r="R1134" s="364"/>
    </row>
    <row r="1135" ht="16.5" hidden="1" customHeight="1" spans="1:18">
      <c r="A1135" s="347" t="s">
        <v>1002</v>
      </c>
      <c r="B1135" s="348"/>
      <c r="C1135" s="348"/>
      <c r="D1135" s="349"/>
      <c r="E1135" s="348"/>
      <c r="F1135" s="345"/>
      <c r="G1135" s="346"/>
      <c r="H1135" s="348">
        <v>0</v>
      </c>
      <c r="I1135" s="345"/>
      <c r="J1135" s="349"/>
      <c r="K1135" s="325"/>
      <c r="L1135" s="325">
        <f t="shared" si="95"/>
        <v>0</v>
      </c>
      <c r="O1135" s="325"/>
      <c r="P1135" s="363"/>
      <c r="Q1135" s="363"/>
      <c r="R1135" s="364"/>
    </row>
    <row r="1136" ht="16.5" hidden="1" customHeight="1" spans="1:18">
      <c r="A1136" s="347" t="s">
        <v>1003</v>
      </c>
      <c r="B1136" s="348"/>
      <c r="C1136" s="348"/>
      <c r="D1136" s="349"/>
      <c r="E1136" s="348"/>
      <c r="F1136" s="345"/>
      <c r="G1136" s="346"/>
      <c r="H1136" s="348">
        <v>0</v>
      </c>
      <c r="I1136" s="345"/>
      <c r="J1136" s="349"/>
      <c r="K1136" s="325"/>
      <c r="L1136" s="325">
        <f t="shared" si="95"/>
        <v>0</v>
      </c>
      <c r="O1136" s="325"/>
      <c r="P1136" s="363"/>
      <c r="Q1136" s="363"/>
      <c r="R1136" s="364"/>
    </row>
    <row r="1137" ht="16.5" customHeight="1" spans="1:18">
      <c r="A1137" s="347" t="s">
        <v>1004</v>
      </c>
      <c r="B1137" s="348"/>
      <c r="C1137" s="348"/>
      <c r="D1137" s="349"/>
      <c r="E1137" s="348"/>
      <c r="F1137" s="345"/>
      <c r="G1137" s="346"/>
      <c r="H1137" s="348">
        <v>30</v>
      </c>
      <c r="I1137" s="345"/>
      <c r="J1137" s="349"/>
      <c r="K1137" s="325"/>
      <c r="L1137" s="325">
        <f t="shared" si="95"/>
        <v>30</v>
      </c>
      <c r="O1137" s="325"/>
      <c r="P1137" s="363"/>
      <c r="Q1137" s="363"/>
      <c r="R1137" s="364"/>
    </row>
    <row r="1138" ht="16.5" customHeight="1" spans="1:18">
      <c r="A1138" s="347" t="s">
        <v>164</v>
      </c>
      <c r="B1138" s="348"/>
      <c r="C1138" s="348"/>
      <c r="D1138" s="349"/>
      <c r="E1138" s="348"/>
      <c r="F1138" s="345"/>
      <c r="G1138" s="346"/>
      <c r="H1138" s="348">
        <v>44.88</v>
      </c>
      <c r="I1138" s="345"/>
      <c r="J1138" s="349"/>
      <c r="K1138" s="325"/>
      <c r="L1138" s="325">
        <f t="shared" si="95"/>
        <v>44.88</v>
      </c>
      <c r="O1138" s="325"/>
      <c r="P1138" s="363"/>
      <c r="Q1138" s="363"/>
      <c r="R1138" s="364"/>
    </row>
    <row r="1139" ht="16.5" customHeight="1" spans="1:18">
      <c r="A1139" s="347" t="s">
        <v>1005</v>
      </c>
      <c r="B1139" s="348"/>
      <c r="C1139" s="348"/>
      <c r="D1139" s="349"/>
      <c r="E1139" s="348"/>
      <c r="F1139" s="345"/>
      <c r="G1139" s="346"/>
      <c r="H1139" s="348">
        <v>739.97</v>
      </c>
      <c r="I1139" s="345"/>
      <c r="J1139" s="349"/>
      <c r="K1139" s="325"/>
      <c r="L1139" s="325">
        <f t="shared" si="95"/>
        <v>739.97</v>
      </c>
      <c r="O1139" s="325"/>
      <c r="P1139" s="363"/>
      <c r="Q1139" s="363"/>
      <c r="R1139" s="364"/>
    </row>
    <row r="1140" s="326" customFormat="1" ht="16.5" customHeight="1" spans="1:18">
      <c r="A1140" s="347" t="s">
        <v>1006</v>
      </c>
      <c r="B1140" s="348">
        <v>1010</v>
      </c>
      <c r="C1140" s="348">
        <v>2887</v>
      </c>
      <c r="D1140" s="349">
        <f>C1140/B1140*100</f>
        <v>285.841584158416</v>
      </c>
      <c r="E1140" s="348">
        <v>797</v>
      </c>
      <c r="F1140" s="345">
        <f>C1140-E1140</f>
        <v>2090</v>
      </c>
      <c r="G1140" s="346">
        <f>F1140/E1140*100</f>
        <v>262.233375156838</v>
      </c>
      <c r="H1140" s="348">
        <f>SUM(H1141:H1146)</f>
        <v>1230</v>
      </c>
      <c r="I1140" s="345">
        <f>H1140-B1140</f>
        <v>220</v>
      </c>
      <c r="J1140" s="349">
        <f>I1140/B1140*100</f>
        <v>21.7821782178218</v>
      </c>
      <c r="K1140" s="325"/>
      <c r="L1140" s="325">
        <f t="shared" si="95"/>
        <v>4117</v>
      </c>
      <c r="O1140" s="325"/>
      <c r="P1140" s="363"/>
      <c r="Q1140" s="363"/>
      <c r="R1140" s="364"/>
    </row>
    <row r="1141" ht="16.5" hidden="1" customHeight="1" spans="1:18">
      <c r="A1141" s="365" t="s">
        <v>155</v>
      </c>
      <c r="B1141" s="348"/>
      <c r="C1141" s="348"/>
      <c r="D1141" s="349"/>
      <c r="E1141" s="348"/>
      <c r="F1141" s="345"/>
      <c r="G1141" s="346"/>
      <c r="H1141" s="348">
        <v>0</v>
      </c>
      <c r="I1141" s="345"/>
      <c r="J1141" s="349"/>
      <c r="K1141" s="325"/>
      <c r="L1141" s="325">
        <f t="shared" si="95"/>
        <v>0</v>
      </c>
      <c r="O1141" s="325"/>
      <c r="P1141" s="363"/>
      <c r="Q1141" s="363"/>
      <c r="R1141" s="364"/>
    </row>
    <row r="1142" ht="16.5" customHeight="1" spans="1:18">
      <c r="A1142" s="347" t="s">
        <v>156</v>
      </c>
      <c r="B1142" s="348"/>
      <c r="C1142" s="348"/>
      <c r="D1142" s="349"/>
      <c r="E1142" s="348"/>
      <c r="F1142" s="345"/>
      <c r="G1142" s="346"/>
      <c r="H1142" s="348">
        <v>1080</v>
      </c>
      <c r="I1142" s="345"/>
      <c r="J1142" s="349"/>
      <c r="K1142" s="325"/>
      <c r="L1142" s="325">
        <f t="shared" si="95"/>
        <v>1080</v>
      </c>
      <c r="O1142" s="325"/>
      <c r="P1142" s="363"/>
      <c r="Q1142" s="363"/>
      <c r="R1142" s="364"/>
    </row>
    <row r="1143" ht="16.5" hidden="1" customHeight="1" spans="1:18">
      <c r="A1143" s="347" t="s">
        <v>157</v>
      </c>
      <c r="B1143" s="348"/>
      <c r="C1143" s="348"/>
      <c r="D1143" s="349"/>
      <c r="E1143" s="348"/>
      <c r="F1143" s="345"/>
      <c r="G1143" s="346"/>
      <c r="H1143" s="348">
        <v>0</v>
      </c>
      <c r="I1143" s="345"/>
      <c r="J1143" s="349"/>
      <c r="K1143" s="325"/>
      <c r="L1143" s="325">
        <f t="shared" si="95"/>
        <v>0</v>
      </c>
      <c r="O1143" s="325"/>
      <c r="P1143" s="363"/>
      <c r="Q1143" s="363"/>
      <c r="R1143" s="364"/>
    </row>
    <row r="1144" ht="16.5" customHeight="1" spans="1:18">
      <c r="A1144" s="347" t="s">
        <v>1007</v>
      </c>
      <c r="B1144" s="348"/>
      <c r="C1144" s="348"/>
      <c r="D1144" s="349"/>
      <c r="E1144" s="348"/>
      <c r="F1144" s="345"/>
      <c r="G1144" s="346"/>
      <c r="H1144" s="348">
        <v>150</v>
      </c>
      <c r="I1144" s="345"/>
      <c r="J1144" s="349"/>
      <c r="K1144" s="325"/>
      <c r="L1144" s="325">
        <f t="shared" si="95"/>
        <v>150</v>
      </c>
      <c r="O1144" s="325"/>
      <c r="P1144" s="363"/>
      <c r="Q1144" s="363"/>
      <c r="R1144" s="364"/>
    </row>
    <row r="1145" ht="16.5" hidden="1" customHeight="1" spans="1:18">
      <c r="A1145" s="347" t="s">
        <v>164</v>
      </c>
      <c r="B1145" s="348"/>
      <c r="C1145" s="348"/>
      <c r="D1145" s="349"/>
      <c r="E1145" s="348"/>
      <c r="F1145" s="345"/>
      <c r="G1145" s="346"/>
      <c r="H1145" s="348">
        <v>0</v>
      </c>
      <c r="I1145" s="345"/>
      <c r="J1145" s="349"/>
      <c r="K1145" s="325"/>
      <c r="L1145" s="325">
        <f t="shared" si="95"/>
        <v>0</v>
      </c>
      <c r="O1145" s="325"/>
      <c r="P1145" s="363"/>
      <c r="Q1145" s="363"/>
      <c r="R1145" s="364"/>
    </row>
    <row r="1146" ht="16.5" hidden="1" customHeight="1" spans="1:18">
      <c r="A1146" s="347" t="s">
        <v>1008</v>
      </c>
      <c r="B1146" s="348"/>
      <c r="C1146" s="348"/>
      <c r="D1146" s="349"/>
      <c r="E1146" s="348"/>
      <c r="F1146" s="345"/>
      <c r="G1146" s="346"/>
      <c r="H1146" s="348">
        <v>0</v>
      </c>
      <c r="I1146" s="345"/>
      <c r="J1146" s="349"/>
      <c r="K1146" s="325"/>
      <c r="L1146" s="325">
        <f t="shared" si="95"/>
        <v>0</v>
      </c>
      <c r="O1146" s="325"/>
      <c r="P1146" s="363"/>
      <c r="Q1146" s="363"/>
      <c r="R1146" s="364"/>
    </row>
    <row r="1147" s="326" customFormat="1" ht="16.5" hidden="1" customHeight="1" spans="1:18">
      <c r="A1147" s="347" t="s">
        <v>1009</v>
      </c>
      <c r="B1147" s="348"/>
      <c r="C1147" s="348"/>
      <c r="D1147" s="349"/>
      <c r="E1147" s="348"/>
      <c r="F1147" s="345"/>
      <c r="G1147" s="346"/>
      <c r="H1147" s="348">
        <v>0</v>
      </c>
      <c r="I1147" s="345"/>
      <c r="J1147" s="349"/>
      <c r="K1147" s="325"/>
      <c r="L1147" s="325">
        <f t="shared" si="95"/>
        <v>0</v>
      </c>
      <c r="O1147" s="325"/>
      <c r="P1147" s="363"/>
      <c r="Q1147" s="363"/>
      <c r="R1147" s="364"/>
    </row>
    <row r="1148" s="326" customFormat="1" ht="16.5" customHeight="1" spans="1:18">
      <c r="A1148" s="347" t="s">
        <v>1010</v>
      </c>
      <c r="B1148" s="348">
        <v>202</v>
      </c>
      <c r="C1148" s="348">
        <v>192</v>
      </c>
      <c r="D1148" s="349">
        <f>C1148/B1148*100</f>
        <v>95.049504950495</v>
      </c>
      <c r="E1148" s="348">
        <v>203</v>
      </c>
      <c r="F1148" s="345">
        <f>C1148-E1148</f>
        <v>-11</v>
      </c>
      <c r="G1148" s="346">
        <f>F1148/E1148*100</f>
        <v>-5.41871921182266</v>
      </c>
      <c r="H1148" s="348">
        <f>SUM(H1149:H1160)</f>
        <v>191.763925</v>
      </c>
      <c r="I1148" s="345">
        <f>H1148-B1148</f>
        <v>-10.236075</v>
      </c>
      <c r="J1148" s="349">
        <f>I1148/B1148*100</f>
        <v>-5.06736386138614</v>
      </c>
      <c r="K1148" s="325"/>
      <c r="L1148" s="325">
        <f t="shared" si="95"/>
        <v>383.763925</v>
      </c>
      <c r="O1148" s="325"/>
      <c r="P1148" s="363"/>
      <c r="Q1148" s="363"/>
      <c r="R1148" s="364"/>
    </row>
    <row r="1149" ht="16.5" customHeight="1" spans="1:18">
      <c r="A1149" s="365" t="s">
        <v>155</v>
      </c>
      <c r="B1149" s="348"/>
      <c r="C1149" s="348"/>
      <c r="D1149" s="349"/>
      <c r="E1149" s="348"/>
      <c r="F1149" s="345"/>
      <c r="G1149" s="346"/>
      <c r="H1149" s="348">
        <v>144.283925</v>
      </c>
      <c r="I1149" s="345"/>
      <c r="J1149" s="349"/>
      <c r="K1149" s="325"/>
      <c r="L1149" s="325">
        <f t="shared" si="95"/>
        <v>144.283925</v>
      </c>
      <c r="O1149" s="325"/>
      <c r="P1149" s="363"/>
      <c r="Q1149" s="363"/>
      <c r="R1149" s="364"/>
    </row>
    <row r="1150" ht="16.5" customHeight="1" spans="1:18">
      <c r="A1150" s="347" t="s">
        <v>156</v>
      </c>
      <c r="B1150" s="348"/>
      <c r="C1150" s="348"/>
      <c r="D1150" s="349"/>
      <c r="E1150" s="348"/>
      <c r="F1150" s="345"/>
      <c r="G1150" s="346"/>
      <c r="H1150" s="348">
        <v>27.48</v>
      </c>
      <c r="I1150" s="345"/>
      <c r="J1150" s="349"/>
      <c r="K1150" s="325"/>
      <c r="L1150" s="325">
        <f t="shared" si="95"/>
        <v>27.48</v>
      </c>
      <c r="O1150" s="325"/>
      <c r="P1150" s="363"/>
      <c r="Q1150" s="363"/>
      <c r="R1150" s="364"/>
    </row>
    <row r="1151" ht="16.5" hidden="1" customHeight="1" spans="1:18">
      <c r="A1151" s="347" t="s">
        <v>157</v>
      </c>
      <c r="B1151" s="348"/>
      <c r="C1151" s="348"/>
      <c r="D1151" s="349"/>
      <c r="E1151" s="348"/>
      <c r="F1151" s="345"/>
      <c r="G1151" s="346"/>
      <c r="H1151" s="348">
        <v>0</v>
      </c>
      <c r="I1151" s="345"/>
      <c r="J1151" s="349"/>
      <c r="K1151" s="325"/>
      <c r="L1151" s="325">
        <f t="shared" si="95"/>
        <v>0</v>
      </c>
      <c r="O1151" s="325"/>
      <c r="P1151" s="363"/>
      <c r="Q1151" s="363"/>
      <c r="R1151" s="364"/>
    </row>
    <row r="1152" ht="16.5" customHeight="1" spans="1:18">
      <c r="A1152" s="347" t="s">
        <v>1011</v>
      </c>
      <c r="B1152" s="348"/>
      <c r="C1152" s="348"/>
      <c r="D1152" s="349"/>
      <c r="E1152" s="348"/>
      <c r="F1152" s="345"/>
      <c r="G1152" s="346"/>
      <c r="H1152" s="348">
        <v>10.0824</v>
      </c>
      <c r="I1152" s="345"/>
      <c r="J1152" s="349"/>
      <c r="K1152" s="325"/>
      <c r="L1152" s="325">
        <f t="shared" si="95"/>
        <v>10.0824</v>
      </c>
      <c r="O1152" s="325"/>
      <c r="P1152" s="363"/>
      <c r="Q1152" s="363"/>
      <c r="R1152" s="364"/>
    </row>
    <row r="1153" ht="16.5" customHeight="1" spans="1:18">
      <c r="A1153" s="347" t="s">
        <v>1012</v>
      </c>
      <c r="B1153" s="348"/>
      <c r="C1153" s="348"/>
      <c r="D1153" s="349"/>
      <c r="E1153" s="348"/>
      <c r="F1153" s="345"/>
      <c r="G1153" s="346"/>
      <c r="H1153" s="348">
        <v>4.4176</v>
      </c>
      <c r="I1153" s="345"/>
      <c r="J1153" s="349"/>
      <c r="K1153" s="325"/>
      <c r="L1153" s="325">
        <f t="shared" si="95"/>
        <v>4.4176</v>
      </c>
      <c r="O1153" s="325"/>
      <c r="P1153" s="363"/>
      <c r="Q1153" s="363"/>
      <c r="R1153" s="364"/>
    </row>
    <row r="1154" ht="16.5" customHeight="1" spans="1:18">
      <c r="A1154" s="347" t="s">
        <v>1013</v>
      </c>
      <c r="B1154" s="348"/>
      <c r="C1154" s="348"/>
      <c r="D1154" s="349"/>
      <c r="E1154" s="348"/>
      <c r="F1154" s="345"/>
      <c r="G1154" s="346"/>
      <c r="H1154" s="348">
        <v>5.5</v>
      </c>
      <c r="I1154" s="345"/>
      <c r="J1154" s="349"/>
      <c r="K1154" s="325"/>
      <c r="L1154" s="325">
        <f t="shared" si="95"/>
        <v>5.5</v>
      </c>
      <c r="O1154" s="325"/>
      <c r="P1154" s="363"/>
      <c r="Q1154" s="363"/>
      <c r="R1154" s="364"/>
    </row>
    <row r="1155" ht="16.5" hidden="1" customHeight="1" spans="1:18">
      <c r="A1155" s="347" t="s">
        <v>1014</v>
      </c>
      <c r="B1155" s="348"/>
      <c r="C1155" s="348"/>
      <c r="D1155" s="349"/>
      <c r="E1155" s="348"/>
      <c r="F1155" s="345"/>
      <c r="G1155" s="346"/>
      <c r="H1155" s="348">
        <v>0</v>
      </c>
      <c r="I1155" s="345"/>
      <c r="J1155" s="349"/>
      <c r="K1155" s="325"/>
      <c r="L1155" s="325">
        <f t="shared" si="95"/>
        <v>0</v>
      </c>
      <c r="O1155" s="325"/>
      <c r="P1155" s="363"/>
      <c r="Q1155" s="363"/>
      <c r="R1155" s="364"/>
    </row>
    <row r="1156" ht="16.5" hidden="1" customHeight="1" spans="1:18">
      <c r="A1156" s="347" t="s">
        <v>1015</v>
      </c>
      <c r="B1156" s="348"/>
      <c r="C1156" s="348"/>
      <c r="D1156" s="349"/>
      <c r="E1156" s="348"/>
      <c r="F1156" s="345"/>
      <c r="G1156" s="346"/>
      <c r="H1156" s="348">
        <v>0</v>
      </c>
      <c r="I1156" s="345"/>
      <c r="J1156" s="349"/>
      <c r="K1156" s="325"/>
      <c r="L1156" s="325">
        <f t="shared" si="95"/>
        <v>0</v>
      </c>
      <c r="O1156" s="325"/>
      <c r="P1156" s="363"/>
      <c r="Q1156" s="363"/>
      <c r="R1156" s="364"/>
    </row>
    <row r="1157" ht="16.5" hidden="1" customHeight="1" spans="1:18">
      <c r="A1157" s="347" t="s">
        <v>1016</v>
      </c>
      <c r="B1157" s="348"/>
      <c r="C1157" s="348"/>
      <c r="D1157" s="349"/>
      <c r="E1157" s="348"/>
      <c r="F1157" s="345"/>
      <c r="G1157" s="346"/>
      <c r="H1157" s="348">
        <v>0</v>
      </c>
      <c r="I1157" s="345"/>
      <c r="J1157" s="349"/>
      <c r="K1157" s="325"/>
      <c r="L1157" s="325">
        <f t="shared" si="95"/>
        <v>0</v>
      </c>
      <c r="O1157" s="325"/>
      <c r="P1157" s="363"/>
      <c r="Q1157" s="363"/>
      <c r="R1157" s="364"/>
    </row>
    <row r="1158" ht="16.5" hidden="1" customHeight="1" spans="1:18">
      <c r="A1158" s="347" t="s">
        <v>1017</v>
      </c>
      <c r="B1158" s="348"/>
      <c r="C1158" s="348"/>
      <c r="D1158" s="349"/>
      <c r="E1158" s="348"/>
      <c r="F1158" s="345"/>
      <c r="G1158" s="346"/>
      <c r="H1158" s="348">
        <v>0</v>
      </c>
      <c r="I1158" s="345"/>
      <c r="J1158" s="349"/>
      <c r="K1158" s="325"/>
      <c r="L1158" s="325">
        <f t="shared" si="95"/>
        <v>0</v>
      </c>
      <c r="O1158" s="325"/>
      <c r="P1158" s="363"/>
      <c r="Q1158" s="363"/>
      <c r="R1158" s="364"/>
    </row>
    <row r="1159" ht="16.5" hidden="1" customHeight="1" spans="1:18">
      <c r="A1159" s="347" t="s">
        <v>1018</v>
      </c>
      <c r="B1159" s="348"/>
      <c r="C1159" s="348"/>
      <c r="D1159" s="349"/>
      <c r="E1159" s="348"/>
      <c r="F1159" s="345"/>
      <c r="G1159" s="346"/>
      <c r="H1159" s="348">
        <v>0</v>
      </c>
      <c r="I1159" s="345"/>
      <c r="J1159" s="349"/>
      <c r="K1159" s="325"/>
      <c r="L1159" s="325">
        <f t="shared" si="95"/>
        <v>0</v>
      </c>
      <c r="O1159" s="325"/>
      <c r="P1159" s="363"/>
      <c r="Q1159" s="363"/>
      <c r="R1159" s="364"/>
    </row>
    <row r="1160" ht="16.5" hidden="1" customHeight="1" spans="1:18">
      <c r="A1160" s="347" t="s">
        <v>1019</v>
      </c>
      <c r="B1160" s="348"/>
      <c r="C1160" s="348"/>
      <c r="D1160" s="349"/>
      <c r="E1160" s="348"/>
      <c r="F1160" s="345"/>
      <c r="G1160" s="346"/>
      <c r="H1160" s="348">
        <v>0</v>
      </c>
      <c r="I1160" s="345"/>
      <c r="J1160" s="349"/>
      <c r="K1160" s="325"/>
      <c r="L1160" s="325">
        <f t="shared" ref="L1160:L1191" si="96">C1160+H1160</f>
        <v>0</v>
      </c>
      <c r="O1160" s="325"/>
      <c r="P1160" s="363"/>
      <c r="Q1160" s="363"/>
      <c r="R1160" s="364"/>
    </row>
    <row r="1161" s="326" customFormat="1" ht="16.5" customHeight="1" spans="1:18">
      <c r="A1161" s="347" t="s">
        <v>1020</v>
      </c>
      <c r="B1161" s="348">
        <v>697</v>
      </c>
      <c r="C1161" s="348">
        <v>59.11</v>
      </c>
      <c r="D1161" s="349">
        <f>C1161/B1161*100</f>
        <v>8.480631276901</v>
      </c>
      <c r="E1161" s="348">
        <v>31</v>
      </c>
      <c r="F1161" s="345">
        <f>C1161-E1161</f>
        <v>28.11</v>
      </c>
      <c r="G1161" s="346">
        <f>F1161/E1161*100</f>
        <v>90.6774193548387</v>
      </c>
      <c r="H1161" s="348">
        <f>SUM(H1162:H1164)</f>
        <v>0</v>
      </c>
      <c r="I1161" s="345">
        <f>H1161-B1161</f>
        <v>-697</v>
      </c>
      <c r="J1161" s="349">
        <f>I1161/B1161*100</f>
        <v>-100</v>
      </c>
      <c r="K1161" s="325"/>
      <c r="L1161" s="325">
        <f t="shared" si="96"/>
        <v>59.11</v>
      </c>
      <c r="O1161" s="325"/>
      <c r="P1161" s="363"/>
      <c r="Q1161" s="363"/>
      <c r="R1161" s="364"/>
    </row>
    <row r="1162" ht="16.5" hidden="1" customHeight="1" spans="1:18">
      <c r="A1162" s="347" t="s">
        <v>1021</v>
      </c>
      <c r="B1162" s="348"/>
      <c r="C1162" s="348"/>
      <c r="D1162" s="349"/>
      <c r="E1162" s="348"/>
      <c r="F1162" s="345"/>
      <c r="G1162" s="346"/>
      <c r="H1162" s="348"/>
      <c r="I1162" s="345"/>
      <c r="J1162" s="349"/>
      <c r="K1162" s="325"/>
      <c r="L1162" s="325">
        <f t="shared" si="96"/>
        <v>0</v>
      </c>
      <c r="O1162" s="325"/>
      <c r="P1162" s="363"/>
      <c r="Q1162" s="363"/>
      <c r="R1162" s="364"/>
    </row>
    <row r="1163" ht="16.5" hidden="1" customHeight="1" spans="1:18">
      <c r="A1163" s="347" t="s">
        <v>1022</v>
      </c>
      <c r="B1163" s="348"/>
      <c r="C1163" s="348"/>
      <c r="D1163" s="349"/>
      <c r="E1163" s="348"/>
      <c r="F1163" s="345"/>
      <c r="G1163" s="346"/>
      <c r="H1163" s="348"/>
      <c r="I1163" s="345"/>
      <c r="J1163" s="349"/>
      <c r="K1163" s="325"/>
      <c r="L1163" s="325">
        <f t="shared" si="96"/>
        <v>0</v>
      </c>
      <c r="O1163" s="325"/>
      <c r="P1163" s="363"/>
      <c r="Q1163" s="363"/>
      <c r="R1163" s="364"/>
    </row>
    <row r="1164" ht="16.5" hidden="1" customHeight="1" spans="1:18">
      <c r="A1164" s="347" t="s">
        <v>1023</v>
      </c>
      <c r="B1164" s="348"/>
      <c r="C1164" s="348"/>
      <c r="D1164" s="349"/>
      <c r="E1164" s="348"/>
      <c r="F1164" s="345"/>
      <c r="G1164" s="346"/>
      <c r="H1164" s="348"/>
      <c r="I1164" s="345"/>
      <c r="J1164" s="349"/>
      <c r="K1164" s="325"/>
      <c r="L1164" s="325">
        <f t="shared" si="96"/>
        <v>0</v>
      </c>
      <c r="O1164" s="325"/>
      <c r="P1164" s="363"/>
      <c r="Q1164" s="363"/>
      <c r="R1164" s="364"/>
    </row>
    <row r="1165" s="326" customFormat="1" ht="16.5" hidden="1" customHeight="1" spans="1:18">
      <c r="A1165" s="347" t="s">
        <v>1024</v>
      </c>
      <c r="B1165" s="348"/>
      <c r="C1165" s="348"/>
      <c r="D1165" s="349"/>
      <c r="E1165" s="348">
        <v>783</v>
      </c>
      <c r="F1165" s="345">
        <f t="shared" ref="F1165:F1171" si="97">C1165-E1165</f>
        <v>-783</v>
      </c>
      <c r="G1165" s="346">
        <f>F1165/E1165*100</f>
        <v>-100</v>
      </c>
      <c r="H1165" s="348">
        <f>SUM(H1166:H1168)</f>
        <v>0</v>
      </c>
      <c r="I1165" s="345">
        <f t="shared" ref="I1165:I1178" si="98">H1165-B1165</f>
        <v>0</v>
      </c>
      <c r="J1165" s="349"/>
      <c r="K1165" s="325"/>
      <c r="L1165" s="325">
        <f t="shared" si="96"/>
        <v>0</v>
      </c>
      <c r="O1165" s="325"/>
      <c r="P1165" s="363"/>
      <c r="Q1165" s="363"/>
      <c r="R1165" s="364"/>
    </row>
    <row r="1166" ht="16.5" hidden="1" customHeight="1" spans="1:18">
      <c r="A1166" s="347" t="s">
        <v>1025</v>
      </c>
      <c r="B1166" s="348"/>
      <c r="C1166" s="348"/>
      <c r="D1166" s="349"/>
      <c r="E1166" s="348"/>
      <c r="F1166" s="345"/>
      <c r="G1166" s="346"/>
      <c r="H1166" s="348"/>
      <c r="I1166" s="345"/>
      <c r="J1166" s="349"/>
      <c r="K1166" s="325"/>
      <c r="L1166" s="325">
        <f t="shared" si="96"/>
        <v>0</v>
      </c>
      <c r="O1166" s="325"/>
      <c r="P1166" s="363"/>
      <c r="Q1166" s="363"/>
      <c r="R1166" s="364"/>
    </row>
    <row r="1167" ht="16.5" hidden="1" customHeight="1" spans="1:18">
      <c r="A1167" s="347" t="s">
        <v>1026</v>
      </c>
      <c r="B1167" s="348"/>
      <c r="C1167" s="348"/>
      <c r="D1167" s="349"/>
      <c r="E1167" s="348"/>
      <c r="F1167" s="345"/>
      <c r="G1167" s="346"/>
      <c r="H1167" s="348"/>
      <c r="I1167" s="345"/>
      <c r="J1167" s="349"/>
      <c r="K1167" s="325"/>
      <c r="L1167" s="325">
        <f t="shared" si="96"/>
        <v>0</v>
      </c>
      <c r="O1167" s="325"/>
      <c r="P1167" s="363"/>
      <c r="Q1167" s="363"/>
      <c r="R1167" s="364"/>
    </row>
    <row r="1168" ht="16.5" hidden="1" customHeight="1" spans="1:18">
      <c r="A1168" s="347" t="s">
        <v>1027</v>
      </c>
      <c r="B1168" s="348"/>
      <c r="C1168" s="348"/>
      <c r="D1168" s="349"/>
      <c r="E1168" s="348"/>
      <c r="F1168" s="345"/>
      <c r="G1168" s="346"/>
      <c r="H1168" s="348"/>
      <c r="I1168" s="345"/>
      <c r="J1168" s="349"/>
      <c r="K1168" s="325"/>
      <c r="L1168" s="325">
        <f t="shared" si="96"/>
        <v>0</v>
      </c>
      <c r="O1168" s="325"/>
      <c r="P1168" s="363"/>
      <c r="Q1168" s="363"/>
      <c r="R1168" s="364"/>
    </row>
    <row r="1169" s="326" customFormat="1" ht="16.5" customHeight="1" spans="1:18">
      <c r="A1169" s="347" t="s">
        <v>1028</v>
      </c>
      <c r="B1169" s="348"/>
      <c r="C1169" s="348">
        <v>178</v>
      </c>
      <c r="D1169" s="349"/>
      <c r="E1169" s="348">
        <v>78</v>
      </c>
      <c r="F1169" s="345">
        <f t="shared" si="97"/>
        <v>100</v>
      </c>
      <c r="G1169" s="346">
        <f t="shared" ref="G1169:G1178" si="99">F1169/E1169*100</f>
        <v>128.205128205128</v>
      </c>
      <c r="H1169" s="348"/>
      <c r="I1169" s="345">
        <f t="shared" si="98"/>
        <v>0</v>
      </c>
      <c r="J1169" s="349"/>
      <c r="K1169" s="325"/>
      <c r="L1169" s="325">
        <f t="shared" si="96"/>
        <v>178</v>
      </c>
      <c r="O1169" s="325"/>
      <c r="P1169" s="363"/>
      <c r="Q1169" s="363"/>
      <c r="R1169" s="364"/>
    </row>
    <row r="1170" s="325" customFormat="1" ht="16.5" customHeight="1" spans="1:18">
      <c r="A1170" s="344" t="s">
        <v>1029</v>
      </c>
      <c r="B1170" s="345">
        <v>12700</v>
      </c>
      <c r="C1170" s="345"/>
      <c r="D1170" s="349">
        <f>C1170/B1170*100</f>
        <v>0</v>
      </c>
      <c r="E1170" s="345"/>
      <c r="F1170" s="345">
        <f t="shared" si="97"/>
        <v>0</v>
      </c>
      <c r="G1170" s="346"/>
      <c r="H1170" s="348">
        <v>12650.4</v>
      </c>
      <c r="I1170" s="345">
        <f t="shared" si="98"/>
        <v>-49.6000000000004</v>
      </c>
      <c r="J1170" s="349">
        <f>I1170/B1170*100</f>
        <v>-0.390551181102365</v>
      </c>
      <c r="L1170" s="325">
        <f t="shared" si="96"/>
        <v>12650.4</v>
      </c>
      <c r="P1170" s="362"/>
      <c r="Q1170" s="362"/>
      <c r="R1170" s="364"/>
    </row>
    <row r="1171" s="325" customFormat="1" ht="16.5" customHeight="1" spans="1:18">
      <c r="A1171" s="344" t="s">
        <v>1030</v>
      </c>
      <c r="B1171" s="345">
        <f>B1172+B1173</f>
        <v>24716</v>
      </c>
      <c r="C1171" s="345">
        <f>C1172+C1173</f>
        <v>1185</v>
      </c>
      <c r="D1171" s="349">
        <f>C1171/B1171*100</f>
        <v>4.79446512380644</v>
      </c>
      <c r="E1171" s="345">
        <f>E1172+E1173</f>
        <v>1682</v>
      </c>
      <c r="F1171" s="345">
        <f t="shared" si="97"/>
        <v>-497</v>
      </c>
      <c r="G1171" s="346">
        <f t="shared" si="99"/>
        <v>-29.5481569560048</v>
      </c>
      <c r="H1171" s="345">
        <f>SUM(H1172:H1173)</f>
        <v>7761</v>
      </c>
      <c r="I1171" s="345">
        <f t="shared" si="98"/>
        <v>-16955</v>
      </c>
      <c r="J1171" s="349">
        <f>I1171/B1171*100</f>
        <v>-68.5992879106652</v>
      </c>
      <c r="L1171" s="325">
        <f t="shared" si="96"/>
        <v>8946</v>
      </c>
      <c r="P1171" s="362"/>
      <c r="Q1171" s="362"/>
      <c r="R1171" s="364"/>
    </row>
    <row r="1172" ht="16.5" customHeight="1" spans="1:18">
      <c r="A1172" s="347" t="s">
        <v>1031</v>
      </c>
      <c r="B1172" s="348">
        <v>24716</v>
      </c>
      <c r="C1172" s="348"/>
      <c r="D1172" s="349"/>
      <c r="E1172" s="348"/>
      <c r="F1172" s="345"/>
      <c r="G1172" s="346"/>
      <c r="H1172" s="348">
        <v>6055</v>
      </c>
      <c r="I1172" s="345">
        <f t="shared" si="98"/>
        <v>-18661</v>
      </c>
      <c r="J1172" s="349"/>
      <c r="K1172" s="325"/>
      <c r="L1172" s="325">
        <f t="shared" si="96"/>
        <v>6055</v>
      </c>
      <c r="O1172" s="325"/>
      <c r="P1172" s="363"/>
      <c r="Q1172" s="363"/>
      <c r="R1172" s="364"/>
    </row>
    <row r="1173" ht="16.5" customHeight="1" spans="1:18">
      <c r="A1173" s="347" t="s">
        <v>1032</v>
      </c>
      <c r="B1173" s="348"/>
      <c r="C1173" s="348">
        <v>1185</v>
      </c>
      <c r="D1173" s="349"/>
      <c r="E1173" s="348">
        <v>1682</v>
      </c>
      <c r="F1173" s="345"/>
      <c r="G1173" s="346">
        <f t="shared" si="99"/>
        <v>0</v>
      </c>
      <c r="H1173" s="348">
        <v>1706</v>
      </c>
      <c r="I1173" s="345">
        <f t="shared" si="98"/>
        <v>1706</v>
      </c>
      <c r="J1173" s="349"/>
      <c r="K1173" s="325"/>
      <c r="L1173" s="325">
        <f t="shared" si="96"/>
        <v>2891</v>
      </c>
      <c r="O1173" s="325"/>
      <c r="P1173" s="363"/>
      <c r="Q1173" s="363"/>
      <c r="R1173" s="364"/>
    </row>
    <row r="1174" s="325" customFormat="1" ht="16.5" customHeight="1" spans="1:18">
      <c r="A1174" s="376" t="s">
        <v>1033</v>
      </c>
      <c r="B1174" s="377">
        <f>B1175</f>
        <v>38298</v>
      </c>
      <c r="C1174" s="377">
        <f>C1175</f>
        <v>33584.3</v>
      </c>
      <c r="D1174" s="349">
        <f t="shared" ref="D1174:D1178" si="100">C1174/B1174*100</f>
        <v>87.692046582067</v>
      </c>
      <c r="E1174" s="377">
        <f>E1175</f>
        <v>35333</v>
      </c>
      <c r="F1174" s="345">
        <f t="shared" ref="F1174:F1178" si="101">C1174-E1174</f>
        <v>-1748.7</v>
      </c>
      <c r="G1174" s="346">
        <f t="shared" si="99"/>
        <v>-4.94919763393994</v>
      </c>
      <c r="H1174" s="377">
        <f>H1175</f>
        <v>8807.37</v>
      </c>
      <c r="I1174" s="345">
        <f t="shared" si="98"/>
        <v>-29490.63</v>
      </c>
      <c r="J1174" s="349">
        <f t="shared" ref="J1174:J1178" si="102">I1174/B1174*100</f>
        <v>-77.0030549898167</v>
      </c>
      <c r="L1174" s="325">
        <f t="shared" si="96"/>
        <v>42391.67</v>
      </c>
      <c r="P1174" s="388"/>
      <c r="Q1174" s="388"/>
      <c r="R1174" s="364"/>
    </row>
    <row r="1175" ht="16.5" customHeight="1" spans="1:18">
      <c r="A1175" s="378" t="s">
        <v>1034</v>
      </c>
      <c r="B1175" s="379">
        <v>38298</v>
      </c>
      <c r="C1175" s="348">
        <v>33584.3</v>
      </c>
      <c r="D1175" s="349"/>
      <c r="E1175" s="385">
        <v>35333</v>
      </c>
      <c r="F1175" s="345">
        <f t="shared" si="101"/>
        <v>-1748.7</v>
      </c>
      <c r="G1175" s="346">
        <f t="shared" si="99"/>
        <v>-4.94919763393994</v>
      </c>
      <c r="H1175" s="348">
        <v>8807.37</v>
      </c>
      <c r="I1175" s="345">
        <f t="shared" si="98"/>
        <v>-29490.63</v>
      </c>
      <c r="J1175" s="349"/>
      <c r="K1175" s="325"/>
      <c r="L1175" s="325">
        <f t="shared" si="96"/>
        <v>42391.67</v>
      </c>
      <c r="O1175" s="325"/>
      <c r="P1175" s="363"/>
      <c r="Q1175" s="363"/>
      <c r="R1175" s="364"/>
    </row>
    <row r="1176" ht="16.5" customHeight="1" spans="1:18">
      <c r="A1176" s="376" t="s">
        <v>1035</v>
      </c>
      <c r="B1176" s="345">
        <f>B1177</f>
        <v>250</v>
      </c>
      <c r="C1176" s="345">
        <f>C1177</f>
        <v>147.3</v>
      </c>
      <c r="D1176" s="349">
        <f t="shared" si="100"/>
        <v>58.92</v>
      </c>
      <c r="E1176" s="345">
        <f>E1177</f>
        <v>106</v>
      </c>
      <c r="F1176" s="345">
        <f t="shared" si="101"/>
        <v>41.3</v>
      </c>
      <c r="G1176" s="346">
        <f t="shared" si="99"/>
        <v>38.9622641509434</v>
      </c>
      <c r="H1176" s="345">
        <f>H1177</f>
        <v>100.4</v>
      </c>
      <c r="I1176" s="345">
        <f t="shared" si="98"/>
        <v>-149.6</v>
      </c>
      <c r="J1176" s="349">
        <f t="shared" si="102"/>
        <v>-59.84</v>
      </c>
      <c r="K1176" s="325"/>
      <c r="L1176" s="325">
        <f t="shared" si="96"/>
        <v>247.7</v>
      </c>
      <c r="O1176" s="325"/>
      <c r="P1176" s="362"/>
      <c r="Q1176" s="362"/>
      <c r="R1176" s="364"/>
    </row>
    <row r="1177" ht="16.5" customHeight="1" spans="1:18">
      <c r="A1177" s="378" t="s">
        <v>1036</v>
      </c>
      <c r="B1177" s="379">
        <v>250</v>
      </c>
      <c r="C1177" s="348">
        <v>147.3</v>
      </c>
      <c r="D1177" s="349"/>
      <c r="E1177" s="385">
        <v>106</v>
      </c>
      <c r="F1177" s="345">
        <f t="shared" si="101"/>
        <v>41.3</v>
      </c>
      <c r="G1177" s="346">
        <f t="shared" si="99"/>
        <v>38.9622641509434</v>
      </c>
      <c r="H1177" s="348">
        <v>100.4</v>
      </c>
      <c r="I1177" s="345">
        <f t="shared" si="98"/>
        <v>-149.6</v>
      </c>
      <c r="J1177" s="349"/>
      <c r="K1177" s="325"/>
      <c r="L1177" s="325">
        <f t="shared" si="96"/>
        <v>247.7</v>
      </c>
      <c r="O1177" s="325"/>
      <c r="P1177" s="363"/>
      <c r="Q1177" s="363"/>
      <c r="R1177" s="364"/>
    </row>
    <row r="1178" ht="16.5" customHeight="1" spans="1:18">
      <c r="A1178" s="380" t="s">
        <v>1037</v>
      </c>
      <c r="B1178" s="345">
        <f>B1176+B1174+B1171+B1170+B1129+B1084+B1066+B1037+B1013+B993+B930+B878+B779+B760+B698+B615+B488+B432+B376+B328+B240+B224+B7</f>
        <v>1110952.5</v>
      </c>
      <c r="C1178" s="345">
        <f>C1176+C1174+C1171+C1170+C1129+C1084+C1066+C1037+C1013+C993+C930+C878+C779+C760+C698+C615+C488+C432+C376+C328+C240+C224+C7</f>
        <v>993829.8</v>
      </c>
      <c r="D1178" s="349">
        <f t="shared" si="100"/>
        <v>89.4574520512803</v>
      </c>
      <c r="E1178" s="345">
        <f>E1176+E1174+E1171+E1170+E1129+E1084+E1066+E1037+E1013+E993+E930+E878+E779+E760+E698+E615+E488+E432+E376+E328+E240+E224+E7</f>
        <v>1241885</v>
      </c>
      <c r="F1178" s="345">
        <f t="shared" si="101"/>
        <v>-248055.2</v>
      </c>
      <c r="G1178" s="346">
        <f t="shared" si="99"/>
        <v>-19.9740877778538</v>
      </c>
      <c r="H1178" s="345">
        <f>H1176+H1174+H1171+H1170+H1129+H1084+H1066+H1037+H1013+H993+H930+H878+H779+H760+H698+H615+H488+H432+H376+H328+H240+H224+H7-1</f>
        <v>974213.240843</v>
      </c>
      <c r="I1178" s="345">
        <f t="shared" si="98"/>
        <v>-136739.259157</v>
      </c>
      <c r="J1178" s="349">
        <f t="shared" si="102"/>
        <v>-12.308290332575</v>
      </c>
      <c r="K1178" s="325"/>
      <c r="L1178" s="325">
        <f t="shared" si="96"/>
        <v>1968043.040843</v>
      </c>
      <c r="O1178" s="325"/>
      <c r="P1178" s="362"/>
      <c r="Q1178" s="362"/>
      <c r="R1178" s="364"/>
    </row>
    <row r="1179" ht="16.5" customHeight="1" spans="1:18">
      <c r="A1179" s="376" t="s">
        <v>1038</v>
      </c>
      <c r="B1179" s="345">
        <f>B1180+B1181+B1182+B1183+B1184+B1187+B1188+B1189</f>
        <v>46597</v>
      </c>
      <c r="C1179" s="345">
        <f>C1180+C1181+C1182+C1183+C1184+C1187+C1188+C1189</f>
        <v>195694.851574</v>
      </c>
      <c r="D1179" s="345"/>
      <c r="E1179" s="345"/>
      <c r="F1179" s="345"/>
      <c r="G1179" s="345"/>
      <c r="H1179" s="345">
        <f>H1180+H1181+H1182+H1183+H1184+H1187+H1188+H1189</f>
        <v>42139.21</v>
      </c>
      <c r="I1179" s="345"/>
      <c r="J1179" s="345"/>
      <c r="L1179" s="325">
        <f t="shared" si="96"/>
        <v>237834.061574</v>
      </c>
      <c r="O1179" s="325"/>
      <c r="P1179" s="362"/>
      <c r="Q1179" s="362"/>
      <c r="R1179" s="390"/>
    </row>
    <row r="1180" ht="16.5" hidden="1" customHeight="1" spans="1:18">
      <c r="A1180" s="378" t="s">
        <v>1039</v>
      </c>
      <c r="B1180" s="345"/>
      <c r="C1180" s="345"/>
      <c r="D1180" s="345"/>
      <c r="E1180" s="345"/>
      <c r="F1180" s="345"/>
      <c r="G1180" s="345"/>
      <c r="H1180" s="345"/>
      <c r="I1180" s="345"/>
      <c r="J1180" s="345"/>
      <c r="L1180" s="325">
        <f t="shared" si="96"/>
        <v>0</v>
      </c>
      <c r="O1180" s="325"/>
      <c r="P1180" s="362"/>
      <c r="Q1180" s="362"/>
      <c r="R1180" s="390"/>
    </row>
    <row r="1181" ht="16.5" customHeight="1" spans="1:18">
      <c r="A1181" s="378" t="s">
        <v>1040</v>
      </c>
      <c r="B1181" s="348">
        <v>24430</v>
      </c>
      <c r="C1181" s="348">
        <f>45665+8738-9966+44277-12000-1067-94.65</f>
        <v>75552.35</v>
      </c>
      <c r="D1181" s="348"/>
      <c r="E1181" s="345"/>
      <c r="F1181" s="348"/>
      <c r="G1181" s="348"/>
      <c r="H1181" s="348">
        <v>27477.87</v>
      </c>
      <c r="I1181" s="348"/>
      <c r="J1181" s="345"/>
      <c r="L1181" s="325">
        <f t="shared" si="96"/>
        <v>103030.22</v>
      </c>
      <c r="O1181" s="325"/>
      <c r="P1181" s="362"/>
      <c r="Q1181" s="362"/>
      <c r="R1181" s="390"/>
    </row>
    <row r="1182" ht="16.5" hidden="1" customHeight="1" spans="1:18">
      <c r="A1182" s="378" t="s">
        <v>1041</v>
      </c>
      <c r="B1182" s="348"/>
      <c r="C1182" s="348"/>
      <c r="D1182" s="348"/>
      <c r="E1182" s="345"/>
      <c r="F1182" s="348"/>
      <c r="G1182" s="348"/>
      <c r="H1182" s="348"/>
      <c r="I1182" s="348"/>
      <c r="J1182" s="345"/>
      <c r="L1182" s="325">
        <f t="shared" si="96"/>
        <v>0</v>
      </c>
      <c r="O1182" s="325"/>
      <c r="P1182" s="362"/>
      <c r="Q1182" s="362"/>
      <c r="R1182" s="390"/>
    </row>
    <row r="1183" ht="16.5" hidden="1" customHeight="1" spans="1:18">
      <c r="A1183" s="378" t="s">
        <v>1042</v>
      </c>
      <c r="B1183" s="345"/>
      <c r="C1183" s="345"/>
      <c r="D1183" s="345"/>
      <c r="E1183" s="345"/>
      <c r="F1183" s="345"/>
      <c r="G1183" s="345"/>
      <c r="H1183" s="345"/>
      <c r="I1183" s="345"/>
      <c r="J1183" s="345"/>
      <c r="L1183" s="325">
        <f t="shared" si="96"/>
        <v>0</v>
      </c>
      <c r="O1183" s="325"/>
      <c r="P1183" s="362"/>
      <c r="Q1183" s="362"/>
      <c r="R1183" s="390"/>
    </row>
    <row r="1184" ht="16.5" customHeight="1" spans="1:18">
      <c r="A1184" s="381" t="s">
        <v>1043</v>
      </c>
      <c r="B1184" s="348">
        <f>B1185+B1186</f>
        <v>22167</v>
      </c>
      <c r="C1184" s="348">
        <f>C1185+C1186</f>
        <v>30177</v>
      </c>
      <c r="D1184" s="348"/>
      <c r="E1184" s="345"/>
      <c r="F1184" s="348"/>
      <c r="G1184" s="348"/>
      <c r="H1184" s="348">
        <f>H1185+H1186</f>
        <v>14661.34</v>
      </c>
      <c r="I1184" s="348"/>
      <c r="J1184" s="345"/>
      <c r="L1184" s="325">
        <f t="shared" si="96"/>
        <v>44838.34</v>
      </c>
      <c r="O1184" s="325"/>
      <c r="P1184" s="363"/>
      <c r="Q1184" s="363"/>
      <c r="R1184" s="390"/>
    </row>
    <row r="1185" ht="16.5" customHeight="1" spans="1:18">
      <c r="A1185" s="381" t="s">
        <v>1044</v>
      </c>
      <c r="B1185" s="348">
        <v>2216</v>
      </c>
      <c r="C1185" s="348">
        <v>2216</v>
      </c>
      <c r="D1185" s="345"/>
      <c r="E1185" s="345"/>
      <c r="F1185" s="345"/>
      <c r="G1185" s="345"/>
      <c r="H1185" s="348">
        <v>2216</v>
      </c>
      <c r="I1185" s="345"/>
      <c r="J1185" s="345"/>
      <c r="L1185" s="325">
        <f t="shared" si="96"/>
        <v>4432</v>
      </c>
      <c r="O1185" s="325"/>
      <c r="P1185" s="363"/>
      <c r="Q1185" s="363"/>
      <c r="R1185" s="390"/>
    </row>
    <row r="1186" ht="16.5" customHeight="1" spans="1:18">
      <c r="A1186" s="378" t="s">
        <v>1045</v>
      </c>
      <c r="B1186" s="348">
        <v>19951</v>
      </c>
      <c r="C1186" s="348">
        <f>28485-524</f>
        <v>27961</v>
      </c>
      <c r="D1186" s="345"/>
      <c r="E1186" s="345"/>
      <c r="F1186" s="345"/>
      <c r="G1186" s="345"/>
      <c r="H1186" s="348">
        <v>12445.34</v>
      </c>
      <c r="I1186" s="345"/>
      <c r="J1186" s="345"/>
      <c r="L1186" s="325">
        <f t="shared" si="96"/>
        <v>40406.34</v>
      </c>
      <c r="O1186" s="325"/>
      <c r="P1186" s="363"/>
      <c r="Q1186" s="363"/>
      <c r="R1186" s="390"/>
    </row>
    <row r="1187" ht="16.5" hidden="1" customHeight="1" spans="1:18">
      <c r="A1187" s="382" t="s">
        <v>1046</v>
      </c>
      <c r="B1187" s="348"/>
      <c r="C1187" s="348"/>
      <c r="D1187" s="345"/>
      <c r="E1187" s="345"/>
      <c r="F1187" s="345"/>
      <c r="G1187" s="345"/>
      <c r="H1187" s="348"/>
      <c r="I1187" s="345"/>
      <c r="J1187" s="345"/>
      <c r="L1187" s="325">
        <f t="shared" si="96"/>
        <v>0</v>
      </c>
      <c r="O1187" s="325"/>
      <c r="P1187" s="363"/>
      <c r="Q1187" s="363"/>
      <c r="R1187" s="390"/>
    </row>
    <row r="1188" s="325" customFormat="1" ht="16.5" customHeight="1" spans="1:18">
      <c r="A1188" s="378" t="s">
        <v>1047</v>
      </c>
      <c r="B1188" s="348"/>
      <c r="C1188" s="348">
        <v>12000</v>
      </c>
      <c r="D1188" s="345"/>
      <c r="E1188" s="345"/>
      <c r="F1188" s="345"/>
      <c r="G1188" s="345"/>
      <c r="H1188" s="386"/>
      <c r="I1188" s="345"/>
      <c r="J1188" s="345"/>
      <c r="L1188" s="325">
        <f t="shared" si="96"/>
        <v>12000</v>
      </c>
      <c r="P1188" s="389"/>
      <c r="Q1188" s="389"/>
      <c r="R1188" s="390"/>
    </row>
    <row r="1189" ht="16.5" customHeight="1" spans="1:18">
      <c r="A1189" s="382" t="s">
        <v>1048</v>
      </c>
      <c r="B1189" s="348"/>
      <c r="C1189" s="348">
        <v>77965.501574</v>
      </c>
      <c r="D1189" s="345"/>
      <c r="E1189" s="345"/>
      <c r="F1189" s="345"/>
      <c r="G1189" s="345"/>
      <c r="H1189" s="386"/>
      <c r="I1189" s="345"/>
      <c r="J1189" s="345"/>
      <c r="L1189" s="325">
        <f t="shared" si="96"/>
        <v>77965.501574</v>
      </c>
      <c r="O1189" s="325"/>
      <c r="P1189" s="389"/>
      <c r="Q1189" s="389"/>
      <c r="R1189" s="390"/>
    </row>
    <row r="1190" ht="16.5" customHeight="1" spans="1:18">
      <c r="A1190" s="376" t="s">
        <v>1049</v>
      </c>
      <c r="B1190" s="345">
        <v>145491</v>
      </c>
      <c r="C1190" s="345">
        <v>146015</v>
      </c>
      <c r="D1190" s="345"/>
      <c r="E1190" s="345"/>
      <c r="F1190" s="345"/>
      <c r="G1190" s="345"/>
      <c r="H1190" s="345">
        <v>56451</v>
      </c>
      <c r="I1190" s="345"/>
      <c r="J1190" s="345"/>
      <c r="L1190" s="325">
        <f t="shared" si="96"/>
        <v>202466</v>
      </c>
      <c r="O1190" s="325"/>
      <c r="P1190" s="362"/>
      <c r="Q1190" s="362"/>
      <c r="R1190" s="390"/>
    </row>
    <row r="1191" ht="16.5" customHeight="1" spans="1:18">
      <c r="A1191" s="340" t="s">
        <v>1050</v>
      </c>
      <c r="B1191" s="345">
        <f>B1178+B1179+B1190</f>
        <v>1303040.5</v>
      </c>
      <c r="C1191" s="345">
        <f>C1178+C1179+C1190</f>
        <v>1335539.651574</v>
      </c>
      <c r="D1191" s="345"/>
      <c r="E1191" s="345"/>
      <c r="F1191" s="345"/>
      <c r="G1191" s="345"/>
      <c r="H1191" s="345">
        <f>H1178+H1179+H1190</f>
        <v>1072803.450843</v>
      </c>
      <c r="I1191" s="345"/>
      <c r="J1191" s="345"/>
      <c r="L1191" s="325">
        <f t="shared" si="96"/>
        <v>2408343.102417</v>
      </c>
      <c r="O1191" s="325"/>
      <c r="P1191" s="362"/>
      <c r="Q1191" s="362"/>
      <c r="R1191" s="390"/>
    </row>
    <row r="1192" hidden="1" spans="3:17">
      <c r="C1192" s="383">
        <f>'一般公共预算收入表（市本级）'!C108-C1191</f>
        <v>-0.0247740000486374</v>
      </c>
      <c r="H1192" s="387">
        <f>'一般公共预算收入表（市本级）'!H108-H1191</f>
        <v>-0.0517690000124276</v>
      </c>
      <c r="L1192" s="325"/>
      <c r="P1192" s="387"/>
      <c r="Q1192" s="387"/>
    </row>
    <row r="1193" hidden="1" spans="2:12">
      <c r="B1193" s="350"/>
      <c r="C1193" s="350"/>
      <c r="D1193" s="350"/>
      <c r="E1193" s="350"/>
      <c r="F1193" s="350"/>
      <c r="G1193" s="350"/>
      <c r="H1193" s="350"/>
      <c r="I1193" s="350">
        <f>I1191-[1]全市一般收入!J111</f>
        <v>0</v>
      </c>
      <c r="L1193" s="325"/>
    </row>
    <row r="1194" hidden="1" spans="2:17">
      <c r="B1194" s="384"/>
      <c r="C1194" s="384"/>
      <c r="D1194" s="384">
        <f>D1191-[1]全市一般收入!E111</f>
        <v>0</v>
      </c>
      <c r="E1194" s="384">
        <f>E1191-[1]全市一般收入!F111</f>
        <v>0</v>
      </c>
      <c r="F1194" s="384">
        <f>F1191-[1]全市一般收入!G111</f>
        <v>0</v>
      </c>
      <c r="G1194" s="384">
        <f>G1191-[1]全市一般收入!H111</f>
        <v>0</v>
      </c>
      <c r="H1194" s="384"/>
      <c r="P1194" s="387"/>
      <c r="Q1194" s="387"/>
    </row>
    <row r="1195" spans="12:12">
      <c r="L1195" s="325"/>
    </row>
    <row r="1197" spans="3:3">
      <c r="C1197" s="383"/>
    </row>
  </sheetData>
  <autoFilter ref="A6:XFD1194">
    <filterColumn colId="11">
      <filters>
        <filter val="84854.5081"/>
        <filter val="4954.332142"/>
        <filter val="1750.974502"/>
        <filter val="162915.8293"/>
        <filter val="11184.57583"/>
        <filter val="84.074444"/>
        <filter val="713.827534"/>
        <filter val="8652.772525"/>
        <filter val="147196.5317"/>
        <filter val="517.282979"/>
        <filter val="32.976329"/>
        <filter val="105.2"/>
        <filter val="2501.3"/>
        <filter val="23928.52513"/>
        <filter val="15.4"/>
        <filter val="111.158124"/>
        <filter val="5.5"/>
        <filter val="45.5"/>
        <filter val="501.5"/>
        <filter val="731.5"/>
        <filter val="77.097785"/>
        <filter val="100656.8055"/>
        <filter val="55.6"/>
        <filter val="419.6"/>
        <filter val="601.7"/>
        <filter val="1593.275947"/>
        <filter val="25.8"/>
        <filter val="189.8"/>
        <filter val="1041.248032"/>
        <filter val="203.459012"/>
        <filter val="1097.729553"/>
        <filter val="12614.79634"/>
        <filter val="13811.8"/>
        <filter val="35422.79849"/>
        <filter val="100"/>
        <filter val="500"/>
        <filter val="1500"/>
        <filter val="1"/>
        <filter val="2.901"/>
        <filter val="2"/>
        <filter val="24930.20922"/>
        <filter val="2408248.452"/>
        <filter val="3"/>
        <filter val="4"/>
        <filter val="105"/>
        <filter val="12505"/>
        <filter val="132.745736"/>
        <filter val="8"/>
        <filter val="1046.945478"/>
        <filter val="110"/>
        <filter val="510"/>
        <filter val="5174.537304"/>
        <filter val="36.4944"/>
        <filter val="999.905155"/>
        <filter val="4117"/>
        <filter val="120"/>
        <filter val="7631.19601"/>
        <filter val="2529"/>
        <filter val="4129"/>
        <filter val="14904.62523"/>
        <filter val="290.558124"/>
        <filter val="892.966909"/>
        <filter val="0.480411"/>
        <filter val="13143"/>
        <filter val="48.687895"/>
        <filter val="5007.12415"/>
        <filter val="8946"/>
        <filter val="1060.212216"/>
        <filter val="1040.689417"/>
        <filter val="2579.135788"/>
        <filter val="150"/>
        <filter val="881.847892"/>
        <filter val="2680.986882"/>
        <filter val="997.0812"/>
        <filter val="157"/>
        <filter val="899.79017"/>
        <filter val="1700.302088"/>
        <filter val="747.1408"/>
        <filter val="171"/>
        <filter val="49.478431"/>
        <filter val="6.83161"/>
        <filter val="400.782062"/>
        <filter val="1574"/>
        <filter val="666.802604"/>
        <filter val="1820.781665"/>
        <filter val="0.576"/>
        <filter val="4.4176"/>
        <filter val="178"/>
        <filter val="980"/>
        <filter val="181"/>
        <filter val="1581"/>
        <filter val="184"/>
        <filter val="144.927895"/>
        <filter val="190"/>
        <filter val="830.86071"/>
        <filter val="7.807434"/>
        <filter val="2351.905155"/>
        <filter val="12737.4635"/>
        <filter val="133.206378"/>
        <filter val="6.368428"/>
        <filter val="19885.79849"/>
        <filter val="822.26851"/>
        <filter val="14315.16761"/>
        <filter val="2501.399464"/>
        <filter val="97.734544"/>
        <filter val="2376.936315"/>
        <filter val="1405.490431"/>
        <filter val="287.459012"/>
        <filter val="2066.93444"/>
        <filter val="3248.680026"/>
        <filter val="1591.449178"/>
        <filter val="497.593118"/>
        <filter val="34512.95578"/>
        <filter val="1733.029762"/>
        <filter val="396.469932"/>
        <filter val="576.029333"/>
        <filter val="8618.793513"/>
        <filter val="2492.47004"/>
        <filter val="17608.16294"/>
        <filter val="12853.89845"/>
        <filter val="198.09508"/>
        <filter val="3028.347981"/>
        <filter val="699.250291"/>
        <filter val="425.4341"/>
        <filter val="1543.02641"/>
        <filter val="3143.02641"/>
        <filter val="37752.1071"/>
        <filter val="2679.137892"/>
        <filter val="458.834282"/>
        <filter val="268.889183"/>
        <filter val="566.673966"/>
        <filter val="2125.07"/>
        <filter val="479.720898"/>
        <filter val="979.720898"/>
        <filter val="14255.06959"/>
        <filter val="516.3"/>
        <filter val="5617.014683"/>
        <filter val="2.4"/>
        <filter val="6.4"/>
        <filter val="12.5"/>
        <filter val="886.5"/>
        <filter val="12.6"/>
        <filter val="22.8"/>
        <filter val="152.8"/>
        <filter val="202.8"/>
        <filter val="6388.730378"/>
        <filter val="2726.68842"/>
        <filter val="2311.456634"/>
        <filter val="86.827785"/>
        <filter val="200"/>
        <filter val="614.821211"/>
        <filter val="194340.0721"/>
        <filter val="873.02"/>
        <filter val="256.429675"/>
        <filter val="353.43885"/>
        <filter val="207"/>
        <filter val="600.07"/>
        <filter val="208"/>
        <filter val="406.08"/>
        <filter val="59.11"/>
        <filter val="9.12"/>
        <filter val="3732.43"/>
        <filter val="65.754994"/>
        <filter val="540.15"/>
        <filter val="4689.46"/>
        <filter val="87.17"/>
        <filter val="238.17"/>
        <filter val="182.647"/>
        <filter val="4213.928601"/>
        <filter val="3290.99561"/>
        <filter val="222"/>
        <filter val="399.268662"/>
        <filter val="1366.389593"/>
        <filter val="624"/>
        <filter val="5224"/>
        <filter val="9.24"/>
        <filter val="54.26"/>
        <filter val="2193.702206"/>
        <filter val="323.687507"/>
        <filter val="2229"/>
        <filter val="57.29"/>
        <filter val="3806.21"/>
        <filter val="378.14091"/>
        <filter val="53.33"/>
        <filter val="42.233"/>
        <filter val="133.34"/>
        <filter val="216.34"/>
        <filter val="73.37"/>
        <filter val="8662.214507"/>
        <filter val="241"/>
        <filter val="2728.12"/>
        <filter val="13987.32292"/>
        <filter val="1471.709803"/>
        <filter val="4058.13"/>
        <filter val="7730.393014"/>
        <filter val="640.453714"/>
        <filter val="141.45"/>
        <filter val="162.47"/>
        <filter val="3.48"/>
        <filter val="27.48"/>
        <filter val="4441.954709"/>
        <filter val="43.52"/>
        <filter val="62.52"/>
        <filter val="128.440102"/>
        <filter val="142.52"/>
        <filter val="4.253"/>
        <filter val="1670.83"/>
        <filter val="35.54"/>
        <filter val="453.54"/>
        <filter val="290.56"/>
        <filter val="132.8396"/>
        <filter val="0.57"/>
        <filter val="103124.87"/>
        <filter val="258"/>
        <filter val="34822.58391"/>
        <filter val="223.62"/>
        <filter val="508.62"/>
        <filter val="6020.72"/>
        <filter val="30.64"/>
        <filter val="42988.5525"/>
        <filter val="28.67"/>
        <filter val="6.72"/>
        <filter val="5556.449602"/>
        <filter val="102.74"/>
        <filter val="37.75"/>
        <filter val="2.77"/>
        <filter val="26.78"/>
        <filter val="34.82"/>
        <filter val="478.82"/>
        <filter val="6.85"/>
        <filter val="72.85"/>
        <filter val="6839.083445"/>
        <filter val="1044.894795"/>
        <filter val="965.86"/>
        <filter val="15.1656"/>
        <filter val="707.87"/>
        <filter val="44.88"/>
        <filter val="151.88"/>
        <filter val="5677.59"/>
        <filter val="12653.32511"/>
        <filter val="37.048032"/>
        <filter val="247.029333"/>
        <filter val="207.464333"/>
        <filter val="2.94"/>
        <filter val="90.94"/>
        <filter val="295"/>
        <filter val="10.96"/>
        <filter val="77.96"/>
        <filter val="67.259536"/>
        <filter val="739.97"/>
        <filter val="598.98"/>
        <filter val="1133.870051"/>
        <filter val="326.648544"/>
        <filter val="17188.86224"/>
        <filter val="682.616386"/>
        <filter val="22751.52436"/>
        <filter val="585.487341"/>
        <filter val="425.571941"/>
        <filter val="256.18941"/>
        <filter val="189.41211"/>
        <filter val="693.268662"/>
        <filter val="809.80792"/>
        <filter val="1085.93"/>
        <filter val="3081.93"/>
        <filter val="3958.93"/>
        <filter val="7976.992435"/>
        <filter val="62254.28545"/>
        <filter val="1658.495617"/>
        <filter val="1804.470357"/>
        <filter val="62.34738"/>
        <filter val="1089.99"/>
        <filter val="1230.99"/>
        <filter val="43.914231"/>
        <filter val="12620.32821"/>
        <filter val="5417.710372"/>
        <filter val="232930.122"/>
        <filter val="2318.432383"/>
        <filter val="1282.686223"/>
        <filter val="34.178545"/>
        <filter val="326.858466"/>
        <filter val="23835.18636"/>
        <filter val="5662.059827"/>
        <filter val="6171.066117"/>
        <filter val="166.834867"/>
        <filter val="968.802088"/>
        <filter val="6711.948721"/>
        <filter val="27.2"/>
        <filter val="103.2"/>
        <filter val="928.563872"/>
        <filter val="13.4"/>
        <filter val="117.4"/>
        <filter val="40406.34"/>
        <filter val="44838.34"/>
        <filter val="247.7"/>
        <filter val="2913.581348"/>
        <filter val="3823.909848"/>
        <filter val="3.9"/>
        <filter val="575.55789"/>
        <filter val="64.867021"/>
        <filter val="258.645363"/>
        <filter val="20763.43"/>
        <filter val="232.72816"/>
        <filter val="14443.71229"/>
        <filter val="18257.76879"/>
        <filter val="1934.940511"/>
        <filter val="10155.4643"/>
        <filter val="13.151724"/>
        <filter val="55581.18754"/>
        <filter val="32313.21548"/>
        <filter val="1979.723952"/>
        <filter val="136550.0492"/>
        <filter val="315"/>
        <filter val="314.084709"/>
        <filter val="1590.174349"/>
        <filter val="322"/>
        <filter val="237.3604"/>
        <filter val="337"/>
        <filter val="59.206378"/>
        <filter val="17.7312"/>
        <filter val="1588.80792"/>
        <filter val="314.17906"/>
        <filter val="50291.09487"/>
        <filter val="10416.10691"/>
        <filter val="959.212712"/>
        <filter val="579.598113"/>
        <filter val="14414.93"/>
        <filter val="899.525316"/>
        <filter val="3362"/>
        <filter val="1763"/>
        <filter val="1469.842024"/>
        <filter val="276.91006"/>
        <filter val="768"/>
        <filter val="469.570828"/>
        <filter val="250.378"/>
        <filter val="5420.032862"/>
        <filter val="383.322295"/>
        <filter val="4124.814092"/>
        <filter val="125.490004"/>
        <filter val="395.999708"/>
        <filter val="1124.331099"/>
        <filter val="13390"/>
        <filter val="27938.64"/>
        <filter val="3171.570956"/>
        <filter val="785.91946"/>
        <filter val="878.173548"/>
        <filter val="334426.189"/>
        <filter val="348.031631"/>
        <filter val="21.150461"/>
        <filter val="117.720346"/>
        <filter val="3239.11851"/>
        <filter val="1626.529442"/>
        <filter val="117.0672"/>
        <filter val="115.861333"/>
        <filter val="1648.835227"/>
        <filter val="42391.67"/>
        <filter val="258.271329"/>
        <filter val="631.559183"/>
        <filter val="607.659224"/>
        <filter val="424.518057"/>
        <filter val="2343.318268"/>
        <filter val="2469.384008"/>
        <filter val="3864.049742"/>
        <filter val="219.318092"/>
        <filter val="2265.229753"/>
        <filter val="202.9123"/>
        <filter val="19161.01464"/>
        <filter val="7572.864228"/>
        <filter val="482.523928"/>
        <filter val="1132.176211"/>
        <filter val="4.2"/>
        <filter val="128.2"/>
        <filter val="270.2"/>
        <filter val="144.728532"/>
        <filter val="3844.3"/>
        <filter val="4.4"/>
        <filter val="34.5"/>
        <filter val="176.43885"/>
        <filter val="160.8"/>
        <filter val="3567.803388"/>
        <filter val="10.9"/>
        <filter val="2783.412111"/>
        <filter val="12650.4"/>
        <filter val="144.283925"/>
        <filter val="2613.367415"/>
        <filter val="857.404455"/>
        <filter val="3838.781665"/>
        <filter val="77870.85157"/>
        <filter val="52868.7"/>
        <filter val="44586.40467"/>
        <filter val="1794.368428"/>
        <filter val="6436.117688"/>
        <filter val="2606.216589"/>
        <filter val="2000"/>
        <filter val="12000"/>
        <filter val="7181.031941"/>
        <filter val="525.714781"/>
        <filter val="867.029762"/>
        <filter val="405"/>
        <filter val="383.763925"/>
        <filter val="18263.9935"/>
        <filter val="22178.81067"/>
        <filter val="10"/>
        <filter val="11"/>
        <filter val="389.140951"/>
        <filter val="15"/>
        <filter val="16"/>
        <filter val="19"/>
        <filter val="3724.964709"/>
        <filter val="20"/>
        <filter val="21"/>
        <filter val="821"/>
        <filter val="913.776001"/>
        <filter val="23"/>
        <filter val="659.406464"/>
        <filter val="26"/>
        <filter val="426"/>
        <filter val="27"/>
        <filter val="29"/>
        <filter val="12299.11769"/>
        <filter val="30"/>
        <filter val="31"/>
        <filter val="1967948.391"/>
        <filter val="4432"/>
        <filter val="34"/>
        <filter val="827.163394"/>
        <filter val="10.0824"/>
        <filter val="70.263225"/>
        <filter val="36"/>
        <filter val="40"/>
        <filter val="3219.688482"/>
        <filter val="43"/>
        <filter val="45"/>
        <filter val="1000.3816"/>
        <filter val="49"/>
        <filter val="51"/>
        <filter val="53"/>
        <filter val="54"/>
        <filter val="55"/>
        <filter val="6055"/>
        <filter val="778047.9185"/>
        <filter val="6972.4715"/>
        <filter val="1.056"/>
        <filter val="57"/>
        <filter val="41.066199"/>
        <filter val="47303.80689"/>
        <filter val="60"/>
        <filter val="61"/>
        <filter val="1767.072301"/>
        <filter val="1463"/>
        <filter val="3063"/>
        <filter val="932.1124"/>
        <filter val="65"/>
        <filter val="202466"/>
        <filter val="417.253409"/>
        <filter val="70"/>
        <filter val="18605.6502"/>
        <filter val="4273.832293"/>
        <filter val="223.745394"/>
        <filter val="28732.16294"/>
        <filter val="877"/>
        <filter val="1080"/>
        <filter val="254.561092"/>
        <filter val="514.614894"/>
        <filter val="13904.95854"/>
        <filter val="29956.344"/>
        <filter val="86"/>
        <filter val="89"/>
        <filter val="2891"/>
        <filter val="2132.12071"/>
        <filter val="165506.2012"/>
        <filter val="256.743423"/>
        <filter val="1365.76225"/>
        <filter val="97"/>
        <filter val="8555.822017"/>
        <filter val="9298.059848"/>
        <filter val="1.499"/>
        <filter val="27125.344"/>
        <filter val="47.009948"/>
        <filter val="1.224569"/>
        <filter val="683624.189"/>
        <filter val="17581.80021"/>
        <filter val="145.421534"/>
        <filter val="227.713714"/>
        <filter val="53.404455"/>
        <filter val="6776.4715"/>
        <filter val="284.617966"/>
        <filter val="15876.09516"/>
        <filter val="701.20291"/>
        <filter val="308.20291"/>
        <filter val="510.03884"/>
        <filter val="237834.0616"/>
        <filter val="2018.31986"/>
      </filters>
    </filterColumn>
    <extLst/>
  </autoFilter>
  <mergeCells count="15">
    <mergeCell ref="A2:J2"/>
    <mergeCell ref="C3:E3"/>
    <mergeCell ref="B4:G4"/>
    <mergeCell ref="H4:J4"/>
    <mergeCell ref="F5:G5"/>
    <mergeCell ref="I5:J5"/>
    <mergeCell ref="A4:A6"/>
    <mergeCell ref="B5:B6"/>
    <mergeCell ref="C5:C6"/>
    <mergeCell ref="D5:D6"/>
    <mergeCell ref="E5:E6"/>
    <mergeCell ref="H5:H6"/>
    <mergeCell ref="P5:P6"/>
    <mergeCell ref="Q5:Q6"/>
    <mergeCell ref="R4:R6"/>
  </mergeCells>
  <printOptions horizontalCentered="1"/>
  <pageMargins left="0.471527777777778" right="0.471527777777778" top="0.747916666666667" bottom="0.629166666666667" header="0.313888888888889" footer="0.432638888888889"/>
  <pageSetup paperSize="9" scale="75" orientation="landscape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6"/>
  <sheetViews>
    <sheetView showGridLines="0" workbookViewId="0">
      <selection activeCell="I15" sqref="I15"/>
    </sheetView>
  </sheetViews>
  <sheetFormatPr defaultColWidth="8" defaultRowHeight="12.75" customHeight="1" outlineLevelCol="2"/>
  <cols>
    <col min="1" max="1" width="14.375" style="228" customWidth="1"/>
    <col min="2" max="3" width="25.75" style="228" customWidth="1"/>
    <col min="4" max="5" width="8" style="228" customWidth="1"/>
    <col min="6" max="16384" width="8" style="100"/>
  </cols>
  <sheetData>
    <row r="1" s="228" customFormat="1" ht="15" customHeight="1" spans="1:3">
      <c r="A1" s="229"/>
      <c r="B1" s="229"/>
      <c r="C1" s="229"/>
    </row>
    <row r="2" s="228" customFormat="1" ht="27" customHeight="1" spans="1:3">
      <c r="A2" s="321" t="s">
        <v>1054</v>
      </c>
      <c r="B2" s="321"/>
      <c r="C2" s="321"/>
    </row>
    <row r="3" s="228" customFormat="1" ht="15" customHeight="1" spans="1:3">
      <c r="A3" s="229"/>
      <c r="B3" s="229"/>
      <c r="C3" s="229" t="s">
        <v>1055</v>
      </c>
    </row>
    <row r="4" s="228" customFormat="1" ht="15" customHeight="1" spans="1:3">
      <c r="A4" s="231" t="s">
        <v>1056</v>
      </c>
      <c r="B4" s="231" t="s">
        <v>1057</v>
      </c>
      <c r="C4" s="231" t="s">
        <v>1058</v>
      </c>
    </row>
    <row r="5" s="228" customFormat="1" ht="22.5" customHeight="1" spans="1:3">
      <c r="A5" s="233"/>
      <c r="B5" s="233"/>
      <c r="C5" s="233"/>
    </row>
    <row r="6" s="228" customFormat="1" ht="15" customHeight="1" spans="1:3">
      <c r="A6" s="232" t="s">
        <v>1059</v>
      </c>
      <c r="B6" s="232" t="s">
        <v>1059</v>
      </c>
      <c r="C6" s="232"/>
    </row>
    <row r="7" s="228" customFormat="1" ht="22.5" customHeight="1" spans="1:3">
      <c r="A7" s="235" t="s">
        <v>1060</v>
      </c>
      <c r="B7" s="235" t="s">
        <v>1061</v>
      </c>
      <c r="C7" s="322">
        <v>906594.508473</v>
      </c>
    </row>
    <row r="8" s="228" customFormat="1" ht="22.5" customHeight="1" spans="1:3">
      <c r="A8" s="235" t="s">
        <v>1062</v>
      </c>
      <c r="B8" s="235" t="s">
        <v>1063</v>
      </c>
      <c r="C8" s="322">
        <v>109295.70276</v>
      </c>
    </row>
    <row r="9" s="228" customFormat="1" ht="22.5" customHeight="1" spans="1:3">
      <c r="A9" s="235" t="s">
        <v>1064</v>
      </c>
      <c r="B9" s="235" t="s">
        <v>1065</v>
      </c>
      <c r="C9" s="322">
        <v>33407.38058</v>
      </c>
    </row>
    <row r="10" s="228" customFormat="1" ht="22.5" customHeight="1" spans="1:3">
      <c r="A10" s="235" t="s">
        <v>1066</v>
      </c>
      <c r="B10" s="235" t="s">
        <v>1067</v>
      </c>
      <c r="C10" s="322">
        <v>10775.35313</v>
      </c>
    </row>
    <row r="11" s="228" customFormat="1" ht="22.5" customHeight="1" spans="1:3">
      <c r="A11" s="235" t="s">
        <v>1068</v>
      </c>
      <c r="B11" s="235" t="s">
        <v>1069</v>
      </c>
      <c r="C11" s="322">
        <v>23246.478806</v>
      </c>
    </row>
    <row r="12" s="228" customFormat="1" ht="22.5" customHeight="1" spans="1:3">
      <c r="A12" s="235" t="s">
        <v>1070</v>
      </c>
      <c r="B12" s="235" t="s">
        <v>1071</v>
      </c>
      <c r="C12" s="322">
        <v>28437.081819</v>
      </c>
    </row>
    <row r="13" s="228" customFormat="1" ht="22.5" customHeight="1" spans="1:3">
      <c r="A13" s="235" t="s">
        <v>1072</v>
      </c>
      <c r="B13" s="235" t="s">
        <v>1073</v>
      </c>
      <c r="C13" s="322">
        <v>385.847782</v>
      </c>
    </row>
    <row r="14" s="228" customFormat="1" ht="22.5" customHeight="1" spans="1:3">
      <c r="A14" s="235" t="s">
        <v>1074</v>
      </c>
      <c r="B14" s="235" t="s">
        <v>1075</v>
      </c>
      <c r="C14" s="322">
        <v>953.278008</v>
      </c>
    </row>
    <row r="15" s="228" customFormat="1" ht="22.5" customHeight="1" spans="1:3">
      <c r="A15" s="235" t="s">
        <v>1076</v>
      </c>
      <c r="B15" s="235" t="s">
        <v>1077</v>
      </c>
      <c r="C15" s="322">
        <v>1630.491</v>
      </c>
    </row>
    <row r="16" s="228" customFormat="1" ht="22.5" customHeight="1" spans="1:3">
      <c r="A16" s="235" t="s">
        <v>1078</v>
      </c>
      <c r="B16" s="235" t="s">
        <v>1079</v>
      </c>
      <c r="C16" s="322">
        <v>7652.8732</v>
      </c>
    </row>
    <row r="17" s="228" customFormat="1" ht="22.5" customHeight="1" spans="1:3">
      <c r="A17" s="235" t="s">
        <v>1080</v>
      </c>
      <c r="B17" s="235" t="s">
        <v>1081</v>
      </c>
      <c r="C17" s="322">
        <v>363.37203</v>
      </c>
    </row>
    <row r="18" s="228" customFormat="1" ht="22.5" customHeight="1" spans="1:3">
      <c r="A18" s="235" t="s">
        <v>1082</v>
      </c>
      <c r="B18" s="235" t="s">
        <v>1083</v>
      </c>
      <c r="C18" s="322">
        <v>47.08642</v>
      </c>
    </row>
    <row r="19" s="228" customFormat="1" ht="22.5" customHeight="1" spans="1:3">
      <c r="A19" s="235" t="s">
        <v>1084</v>
      </c>
      <c r="B19" s="235" t="s">
        <v>1085</v>
      </c>
      <c r="C19" s="322">
        <v>1488.321997</v>
      </c>
    </row>
    <row r="20" s="228" customFormat="1" ht="22.5" customHeight="1" spans="1:3">
      <c r="A20" s="235" t="s">
        <v>1086</v>
      </c>
      <c r="B20" s="235" t="s">
        <v>1087</v>
      </c>
      <c r="C20" s="322">
        <v>1461.48376</v>
      </c>
    </row>
    <row r="21" s="228" customFormat="1" ht="22.5" customHeight="1" spans="1:3">
      <c r="A21" s="235" t="s">
        <v>1088</v>
      </c>
      <c r="B21" s="235" t="s">
        <v>1089</v>
      </c>
      <c r="C21" s="322">
        <v>35861.156255</v>
      </c>
    </row>
    <row r="22" s="320" customFormat="1" ht="22.5" customHeight="1" spans="1:3">
      <c r="A22" s="238">
        <v>50301</v>
      </c>
      <c r="B22" s="236" t="s">
        <v>1090</v>
      </c>
      <c r="C22" s="323">
        <v>996</v>
      </c>
    </row>
    <row r="23" s="228" customFormat="1" ht="22.5" customHeight="1" spans="1:3">
      <c r="A23" s="238" t="s">
        <v>1091</v>
      </c>
      <c r="B23" s="238" t="s">
        <v>1092</v>
      </c>
      <c r="C23" s="323">
        <v>22757.23</v>
      </c>
    </row>
    <row r="24" s="228" customFormat="1" ht="22.5" customHeight="1" spans="1:3">
      <c r="A24" s="238" t="s">
        <v>1093</v>
      </c>
      <c r="B24" s="238" t="s">
        <v>1094</v>
      </c>
      <c r="C24" s="323">
        <v>306.74</v>
      </c>
    </row>
    <row r="25" s="228" customFormat="1" ht="22.5" customHeight="1" spans="1:3">
      <c r="A25" s="238" t="s">
        <v>1095</v>
      </c>
      <c r="B25" s="238" t="s">
        <v>1096</v>
      </c>
      <c r="C25" s="323">
        <v>3202.029081</v>
      </c>
    </row>
    <row r="26" s="228" customFormat="1" ht="22.5" customHeight="1" spans="1:3">
      <c r="A26" s="238" t="s">
        <v>1097</v>
      </c>
      <c r="B26" s="238" t="s">
        <v>1098</v>
      </c>
      <c r="C26" s="323">
        <v>1712.45</v>
      </c>
    </row>
    <row r="27" s="228" customFormat="1" ht="22.5" customHeight="1" spans="1:3">
      <c r="A27" s="238" t="s">
        <v>1099</v>
      </c>
      <c r="B27" s="238" t="s">
        <v>1096</v>
      </c>
      <c r="C27" s="323">
        <v>389</v>
      </c>
    </row>
    <row r="28" s="228" customFormat="1" ht="22.5" customHeight="1" spans="1:3">
      <c r="A28" s="238" t="s">
        <v>1100</v>
      </c>
      <c r="B28" s="238" t="s">
        <v>1101</v>
      </c>
      <c r="C28" s="323">
        <v>139917.758881</v>
      </c>
    </row>
    <row r="29" s="228" customFormat="1" ht="22.5" customHeight="1" spans="1:3">
      <c r="A29" s="238" t="s">
        <v>1102</v>
      </c>
      <c r="B29" s="238" t="s">
        <v>1103</v>
      </c>
      <c r="C29" s="323">
        <v>45428.390793</v>
      </c>
    </row>
    <row r="30" s="228" customFormat="1" ht="22.5" customHeight="1" spans="1:3">
      <c r="A30" s="238" t="s">
        <v>1104</v>
      </c>
      <c r="B30" s="238" t="s">
        <v>1105</v>
      </c>
      <c r="C30" s="323">
        <v>4082.897</v>
      </c>
    </row>
    <row r="31" s="228" customFormat="1" ht="22.5" customHeight="1" spans="1:3">
      <c r="A31" s="238" t="s">
        <v>1106</v>
      </c>
      <c r="B31" s="238" t="s">
        <v>1107</v>
      </c>
      <c r="C31" s="323">
        <v>2995</v>
      </c>
    </row>
    <row r="32" s="228" customFormat="1" ht="22.5" customHeight="1" spans="1:3">
      <c r="A32" s="238" t="s">
        <v>1108</v>
      </c>
      <c r="B32" s="238" t="s">
        <v>1109</v>
      </c>
      <c r="C32" s="323">
        <v>341.88</v>
      </c>
    </row>
    <row r="33" s="228" customFormat="1" ht="22.5" customHeight="1" spans="1:3">
      <c r="A33" s="238" t="s">
        <v>1110</v>
      </c>
      <c r="B33" s="238" t="s">
        <v>1111</v>
      </c>
      <c r="C33" s="323">
        <v>2118.27</v>
      </c>
    </row>
    <row r="34" s="228" customFormat="1" ht="22.5" customHeight="1" spans="1:3">
      <c r="A34" s="238" t="s">
        <v>1112</v>
      </c>
      <c r="B34" s="238" t="s">
        <v>1113</v>
      </c>
      <c r="C34" s="323">
        <v>300</v>
      </c>
    </row>
    <row r="35" s="228" customFormat="1" ht="22.5" customHeight="1" spans="1:3">
      <c r="A35" s="238" t="s">
        <v>1114</v>
      </c>
      <c r="B35" s="238" t="s">
        <v>1115</v>
      </c>
      <c r="C35" s="323">
        <v>7616.349704</v>
      </c>
    </row>
    <row r="36" s="228" customFormat="1" ht="22.5" customHeight="1" spans="1:3">
      <c r="A36" s="238" t="s">
        <v>1116</v>
      </c>
      <c r="B36" s="238" t="s">
        <v>1117</v>
      </c>
      <c r="C36" s="323">
        <v>3403.53125</v>
      </c>
    </row>
    <row r="37" s="228" customFormat="1" ht="22.5" customHeight="1" spans="1:3">
      <c r="A37" s="238" t="s">
        <v>1118</v>
      </c>
      <c r="B37" s="238" t="s">
        <v>1119</v>
      </c>
      <c r="C37" s="323">
        <v>54.4</v>
      </c>
    </row>
    <row r="38" s="228" customFormat="1" ht="22.5" customHeight="1" spans="1:3">
      <c r="A38" s="238" t="s">
        <v>1120</v>
      </c>
      <c r="B38" s="238" t="s">
        <v>1121</v>
      </c>
      <c r="C38" s="323">
        <v>10033.985917</v>
      </c>
    </row>
    <row r="39" s="228" customFormat="1" ht="22.5" customHeight="1" spans="1:3">
      <c r="A39" s="238" t="s">
        <v>1122</v>
      </c>
      <c r="B39" s="238" t="s">
        <v>1123</v>
      </c>
      <c r="C39" s="323">
        <v>3142.746</v>
      </c>
    </row>
    <row r="40" s="228" customFormat="1" ht="22.5" customHeight="1" spans="1:3">
      <c r="A40" s="238" t="s">
        <v>1124</v>
      </c>
      <c r="B40" s="238" t="s">
        <v>1125</v>
      </c>
      <c r="C40" s="323">
        <v>366272.059</v>
      </c>
    </row>
    <row r="41" s="228" customFormat="1" ht="22.5" customHeight="1" spans="1:3">
      <c r="A41" s="238" t="s">
        <v>1126</v>
      </c>
      <c r="B41" s="238" t="s">
        <v>1127</v>
      </c>
      <c r="C41" s="323">
        <v>8807</v>
      </c>
    </row>
    <row r="42" s="320" customFormat="1" ht="22.5" customHeight="1" spans="1:3">
      <c r="A42" s="236" t="s">
        <v>1128</v>
      </c>
      <c r="B42" s="236" t="s">
        <v>1129</v>
      </c>
      <c r="C42" s="323">
        <v>1251</v>
      </c>
    </row>
    <row r="43" s="228" customFormat="1" ht="22.5" customHeight="1" spans="1:3">
      <c r="A43" s="235" t="s">
        <v>1130</v>
      </c>
      <c r="B43" s="235" t="s">
        <v>1131</v>
      </c>
      <c r="C43" s="322">
        <v>100</v>
      </c>
    </row>
    <row r="44" s="228" customFormat="1" ht="22.5" customHeight="1" spans="1:3">
      <c r="A44" s="235" t="s">
        <v>1132</v>
      </c>
      <c r="B44" s="235" t="s">
        <v>1133</v>
      </c>
      <c r="C44" s="322">
        <v>12650</v>
      </c>
    </row>
    <row r="45" s="228" customFormat="1" ht="22.5" customHeight="1" spans="1:3">
      <c r="A45" s="235" t="s">
        <v>1134</v>
      </c>
      <c r="B45" s="235" t="s">
        <v>1135</v>
      </c>
      <c r="C45" s="322">
        <v>63</v>
      </c>
    </row>
    <row r="46" s="228" customFormat="1" ht="22.5" customHeight="1" spans="1:3">
      <c r="A46" s="235" t="s">
        <v>1136</v>
      </c>
      <c r="B46" s="235" t="s">
        <v>1137</v>
      </c>
      <c r="C46" s="322">
        <v>13646.8833</v>
      </c>
    </row>
  </sheetData>
  <sheetProtection insertRows="0" insertColumns="0" insertHyperlinks="0" deleteColumns="0" deleteRows="0" sort="0" autoFilter="0" pivotTables="0"/>
  <mergeCells count="4">
    <mergeCell ref="A2:C2"/>
    <mergeCell ref="A4:A5"/>
    <mergeCell ref="B4:B5"/>
    <mergeCell ref="C4:C5"/>
  </mergeCells>
  <pageMargins left="0" right="0" top="0" bottom="0" header="0" footer="0"/>
  <pageSetup paperSize="8" orientation="portrait" horizontalDpi="300" verticalDpi="3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workbookViewId="0">
      <selection activeCell="A27" sqref="A27:B27"/>
    </sheetView>
  </sheetViews>
  <sheetFormatPr defaultColWidth="9" defaultRowHeight="14.25" outlineLevelCol="1"/>
  <cols>
    <col min="1" max="2" width="51" style="302" customWidth="1"/>
    <col min="3" max="16378" width="9" style="302"/>
  </cols>
  <sheetData>
    <row r="1" ht="29.1" customHeight="1" spans="1:2">
      <c r="A1" s="312" t="s">
        <v>1138</v>
      </c>
      <c r="B1" s="312"/>
    </row>
    <row r="2" ht="21" customHeight="1" spans="2:2">
      <c r="B2" s="319" t="s">
        <v>1055</v>
      </c>
    </row>
    <row r="3" s="310" customFormat="1" ht="20.1" customHeight="1" spans="1:2">
      <c r="A3" s="313" t="s">
        <v>1139</v>
      </c>
      <c r="B3" s="313" t="s">
        <v>36</v>
      </c>
    </row>
    <row r="4" s="310" customFormat="1" ht="20.1" customHeight="1" spans="1:2">
      <c r="A4" s="313" t="s">
        <v>146</v>
      </c>
      <c r="B4" s="315">
        <v>27477.78</v>
      </c>
    </row>
    <row r="5" s="310" customFormat="1" ht="20.1" customHeight="1" spans="1:2">
      <c r="A5" s="315" t="s">
        <v>1140</v>
      </c>
      <c r="B5" s="315">
        <v>0</v>
      </c>
    </row>
    <row r="6" s="311" customFormat="1" ht="18" customHeight="1" spans="1:2">
      <c r="A6" s="315" t="s">
        <v>1141</v>
      </c>
      <c r="B6" s="315">
        <v>27477.78</v>
      </c>
    </row>
    <row r="7" ht="18" customHeight="1" spans="1:2">
      <c r="A7" s="317" t="s">
        <v>1142</v>
      </c>
      <c r="B7" s="317">
        <v>1363.58</v>
      </c>
    </row>
    <row r="8" ht="18" customHeight="1" spans="1:2">
      <c r="A8" s="317" t="s">
        <v>1143</v>
      </c>
      <c r="B8" s="317"/>
    </row>
    <row r="9" ht="18" customHeight="1" spans="1:2">
      <c r="A9" s="317" t="s">
        <v>1144</v>
      </c>
      <c r="B9" s="317"/>
    </row>
    <row r="10" ht="18" customHeight="1" spans="1:2">
      <c r="A10" s="317" t="s">
        <v>1145</v>
      </c>
      <c r="B10" s="317">
        <v>12146.91</v>
      </c>
    </row>
    <row r="11" ht="18" customHeight="1" spans="1:2">
      <c r="A11" s="317" t="s">
        <v>1146</v>
      </c>
      <c r="B11" s="317"/>
    </row>
    <row r="12" ht="18" customHeight="1" spans="1:2">
      <c r="A12" s="317" t="s">
        <v>1147</v>
      </c>
      <c r="B12" s="317"/>
    </row>
    <row r="13" ht="18" customHeight="1" spans="1:2">
      <c r="A13" s="317" t="s">
        <v>1148</v>
      </c>
      <c r="B13" s="317"/>
    </row>
    <row r="14" ht="18" customHeight="1" spans="1:2">
      <c r="A14" s="317" t="s">
        <v>1149</v>
      </c>
      <c r="B14" s="317"/>
    </row>
    <row r="15" ht="18" customHeight="1" spans="1:2">
      <c r="A15" s="317" t="s">
        <v>1150</v>
      </c>
      <c r="B15" s="317"/>
    </row>
    <row r="16" ht="18" customHeight="1" spans="1:2">
      <c r="A16" s="317" t="s">
        <v>1151</v>
      </c>
      <c r="B16" s="317"/>
    </row>
    <row r="17" ht="18" customHeight="1" spans="1:2">
      <c r="A17" s="317" t="s">
        <v>1152</v>
      </c>
      <c r="B17" s="317"/>
    </row>
    <row r="18" ht="18" customHeight="1" spans="1:2">
      <c r="A18" s="317" t="s">
        <v>1153</v>
      </c>
      <c r="B18" s="317"/>
    </row>
    <row r="19" ht="18" customHeight="1" spans="1:2">
      <c r="A19" s="317" t="s">
        <v>1154</v>
      </c>
      <c r="B19" s="317">
        <v>3935.37</v>
      </c>
    </row>
    <row r="20" ht="18" customHeight="1" spans="1:2">
      <c r="A20" s="317" t="s">
        <v>1155</v>
      </c>
      <c r="B20" s="317">
        <v>592.36</v>
      </c>
    </row>
    <row r="21" ht="18" customHeight="1" spans="1:2">
      <c r="A21" s="317" t="s">
        <v>1156</v>
      </c>
      <c r="B21" s="317">
        <v>350</v>
      </c>
    </row>
    <row r="22" ht="18" customHeight="1" spans="1:2">
      <c r="A22" s="317" t="s">
        <v>1157</v>
      </c>
      <c r="B22" s="317">
        <v>89.64</v>
      </c>
    </row>
    <row r="23" ht="18" customHeight="1" spans="1:2">
      <c r="A23" s="317" t="s">
        <v>1158</v>
      </c>
      <c r="B23" s="317"/>
    </row>
    <row r="24" ht="18" customHeight="1" spans="1:2">
      <c r="A24" s="317" t="s">
        <v>1159</v>
      </c>
      <c r="B24" s="317"/>
    </row>
    <row r="25" ht="18" customHeight="1" spans="1:2">
      <c r="A25" s="317" t="s">
        <v>1160</v>
      </c>
      <c r="B25" s="317"/>
    </row>
    <row r="26" ht="18" customHeight="1" spans="1:2">
      <c r="A26" s="317" t="s">
        <v>1161</v>
      </c>
      <c r="B26" s="317">
        <v>8999.92</v>
      </c>
    </row>
    <row r="27" spans="1:2">
      <c r="A27" s="315" t="s">
        <v>1162</v>
      </c>
      <c r="B27" s="316">
        <v>0</v>
      </c>
    </row>
  </sheetData>
  <mergeCells count="1">
    <mergeCell ref="A1:B1"/>
  </mergeCells>
  <pageMargins left="0.699305555555556" right="0.699305555555556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I10" sqref="I10"/>
    </sheetView>
  </sheetViews>
  <sheetFormatPr defaultColWidth="9" defaultRowHeight="13.5" outlineLevelCol="6"/>
  <cols>
    <col min="1" max="1" width="51" style="302" customWidth="1"/>
    <col min="2" max="2" width="14.875" style="302" customWidth="1"/>
    <col min="3" max="3" width="14.125" style="302" customWidth="1"/>
    <col min="4" max="4" width="11.625" style="302" customWidth="1"/>
    <col min="5" max="5" width="14.125" style="302" customWidth="1"/>
    <col min="6" max="6" width="15.375" style="302" customWidth="1"/>
    <col min="7" max="7" width="14.125" style="302" customWidth="1"/>
    <col min="8" max="16384" width="9" style="302"/>
  </cols>
  <sheetData>
    <row r="1" ht="29.1" customHeight="1" spans="1:7">
      <c r="A1" s="312" t="s">
        <v>1138</v>
      </c>
      <c r="B1" s="312"/>
      <c r="C1" s="312"/>
      <c r="D1" s="312"/>
      <c r="E1" s="312"/>
      <c r="F1" s="312"/>
      <c r="G1" s="312"/>
    </row>
    <row r="2" ht="21" customHeight="1" spans="7:7">
      <c r="G2" s="302" t="s">
        <v>1055</v>
      </c>
    </row>
    <row r="3" s="310" customFormat="1" ht="20.1" customHeight="1" spans="1:7">
      <c r="A3" s="313" t="s">
        <v>1139</v>
      </c>
      <c r="B3" s="313" t="s">
        <v>36</v>
      </c>
      <c r="C3" s="313" t="s">
        <v>1163</v>
      </c>
      <c r="D3" s="313" t="s">
        <v>1164</v>
      </c>
      <c r="E3" s="313" t="s">
        <v>1165</v>
      </c>
      <c r="F3" s="313" t="s">
        <v>1166</v>
      </c>
      <c r="G3" s="313" t="s">
        <v>1167</v>
      </c>
    </row>
    <row r="4" ht="18" customHeight="1" spans="1:7">
      <c r="A4" s="313" t="s">
        <v>146</v>
      </c>
      <c r="B4" s="314">
        <f t="shared" ref="B4:G4" si="0">B6</f>
        <v>27477.78</v>
      </c>
      <c r="C4" s="314">
        <f t="shared" si="0"/>
        <v>4644.96</v>
      </c>
      <c r="D4" s="314">
        <f t="shared" si="0"/>
        <v>2076</v>
      </c>
      <c r="E4" s="314">
        <f t="shared" si="0"/>
        <v>11299.32</v>
      </c>
      <c r="F4" s="314">
        <f t="shared" si="0"/>
        <v>107.58</v>
      </c>
      <c r="G4" s="314">
        <f t="shared" si="0"/>
        <v>9349.92</v>
      </c>
    </row>
    <row r="5" customFormat="1" ht="18" customHeight="1" spans="1:7">
      <c r="A5" s="315" t="s">
        <v>1140</v>
      </c>
      <c r="B5" s="316">
        <v>0</v>
      </c>
      <c r="C5" s="316">
        <v>0</v>
      </c>
      <c r="D5" s="316">
        <v>0</v>
      </c>
      <c r="E5" s="316">
        <v>0</v>
      </c>
      <c r="F5" s="316">
        <v>0</v>
      </c>
      <c r="G5" s="316">
        <v>0</v>
      </c>
    </row>
    <row r="6" s="311" customFormat="1" ht="18" customHeight="1" spans="1:7">
      <c r="A6" s="315" t="s">
        <v>1141</v>
      </c>
      <c r="B6" s="314">
        <f t="shared" ref="B6:G6" si="1">SUM(B7:B26)</f>
        <v>27477.78</v>
      </c>
      <c r="C6" s="314">
        <f t="shared" si="1"/>
        <v>4644.96</v>
      </c>
      <c r="D6" s="314">
        <f t="shared" si="1"/>
        <v>2076</v>
      </c>
      <c r="E6" s="314">
        <f t="shared" si="1"/>
        <v>11299.32</v>
      </c>
      <c r="F6" s="314">
        <f t="shared" si="1"/>
        <v>107.58</v>
      </c>
      <c r="G6" s="314">
        <f t="shared" si="1"/>
        <v>9349.92</v>
      </c>
    </row>
    <row r="7" ht="18" customHeight="1" spans="1:7">
      <c r="A7" s="317" t="s">
        <v>1142</v>
      </c>
      <c r="B7" s="318">
        <f>C7+D7+E7+F7+G7</f>
        <v>1363.58</v>
      </c>
      <c r="C7" s="318"/>
      <c r="D7" s="318">
        <v>1256</v>
      </c>
      <c r="E7" s="318"/>
      <c r="F7" s="318">
        <v>107.58</v>
      </c>
      <c r="G7" s="318"/>
    </row>
    <row r="8" ht="18" customHeight="1" spans="1:7">
      <c r="A8" s="317" t="s">
        <v>1143</v>
      </c>
      <c r="B8" s="318"/>
      <c r="C8" s="318"/>
      <c r="D8" s="318"/>
      <c r="E8" s="318"/>
      <c r="F8" s="318"/>
      <c r="G8" s="318"/>
    </row>
    <row r="9" ht="18" customHeight="1" spans="1:7">
      <c r="A9" s="317" t="s">
        <v>1144</v>
      </c>
      <c r="B9" s="318"/>
      <c r="C9" s="318"/>
      <c r="D9" s="318"/>
      <c r="E9" s="318"/>
      <c r="F9" s="318"/>
      <c r="G9" s="318"/>
    </row>
    <row r="10" ht="18" customHeight="1" spans="1:7">
      <c r="A10" s="317" t="s">
        <v>1145</v>
      </c>
      <c r="B10" s="318">
        <f>C10+D10+E10+F10+G10</f>
        <v>12146.91</v>
      </c>
      <c r="C10" s="318">
        <v>249</v>
      </c>
      <c r="D10" s="318">
        <v>790</v>
      </c>
      <c r="E10" s="318">
        <v>11107.91</v>
      </c>
      <c r="F10" s="318"/>
      <c r="G10" s="318"/>
    </row>
    <row r="11" ht="18" customHeight="1" spans="1:7">
      <c r="A11" s="317" t="s">
        <v>1146</v>
      </c>
      <c r="B11" s="318"/>
      <c r="C11" s="318"/>
      <c r="D11" s="318"/>
      <c r="E11" s="318"/>
      <c r="F11" s="318"/>
      <c r="G11" s="318"/>
    </row>
    <row r="12" ht="18" customHeight="1" spans="1:7">
      <c r="A12" s="317" t="s">
        <v>1147</v>
      </c>
      <c r="B12" s="318"/>
      <c r="C12" s="318"/>
      <c r="D12" s="318"/>
      <c r="E12" s="318"/>
      <c r="F12" s="318"/>
      <c r="G12" s="318"/>
    </row>
    <row r="13" ht="18" customHeight="1" spans="1:7">
      <c r="A13" s="317" t="s">
        <v>1148</v>
      </c>
      <c r="B13" s="318"/>
      <c r="C13" s="318"/>
      <c r="D13" s="318"/>
      <c r="E13" s="318"/>
      <c r="F13" s="318"/>
      <c r="G13" s="318"/>
    </row>
    <row r="14" ht="18" customHeight="1" spans="1:7">
      <c r="A14" s="317" t="s">
        <v>1149</v>
      </c>
      <c r="B14" s="318"/>
      <c r="C14" s="318"/>
      <c r="D14" s="318"/>
      <c r="E14" s="318"/>
      <c r="F14" s="318"/>
      <c r="G14" s="318"/>
    </row>
    <row r="15" ht="18" customHeight="1" spans="1:7">
      <c r="A15" s="317" t="s">
        <v>1150</v>
      </c>
      <c r="B15" s="318"/>
      <c r="C15" s="318"/>
      <c r="D15" s="318"/>
      <c r="E15" s="318"/>
      <c r="F15" s="318"/>
      <c r="G15" s="318"/>
    </row>
    <row r="16" ht="18" customHeight="1" spans="1:7">
      <c r="A16" s="317" t="s">
        <v>1151</v>
      </c>
      <c r="B16" s="318"/>
      <c r="C16" s="318"/>
      <c r="D16" s="318"/>
      <c r="E16" s="318"/>
      <c r="F16" s="318"/>
      <c r="G16" s="318"/>
    </row>
    <row r="17" ht="18" customHeight="1" spans="1:7">
      <c r="A17" s="317" t="s">
        <v>1152</v>
      </c>
      <c r="B17" s="318"/>
      <c r="C17" s="318"/>
      <c r="D17" s="318"/>
      <c r="E17" s="318"/>
      <c r="F17" s="318"/>
      <c r="G17" s="318"/>
    </row>
    <row r="18" ht="18" customHeight="1" spans="1:7">
      <c r="A18" s="317" t="s">
        <v>1153</v>
      </c>
      <c r="B18" s="318"/>
      <c r="C18" s="318"/>
      <c r="D18" s="318"/>
      <c r="E18" s="318"/>
      <c r="F18" s="318"/>
      <c r="G18" s="318"/>
    </row>
    <row r="19" ht="18" customHeight="1" spans="1:7">
      <c r="A19" s="317" t="s">
        <v>1154</v>
      </c>
      <c r="B19" s="318">
        <f t="shared" ref="B19:B22" si="2">C19+D19+E19+F19+G19</f>
        <v>3935.37</v>
      </c>
      <c r="C19" s="318">
        <v>3935.37</v>
      </c>
      <c r="D19" s="318"/>
      <c r="E19" s="318"/>
      <c r="F19" s="318"/>
      <c r="G19" s="318"/>
    </row>
    <row r="20" ht="18" customHeight="1" spans="1:7">
      <c r="A20" s="317" t="s">
        <v>1155</v>
      </c>
      <c r="B20" s="318">
        <f t="shared" si="2"/>
        <v>592.36</v>
      </c>
      <c r="C20" s="318">
        <v>370.95</v>
      </c>
      <c r="D20" s="318">
        <v>30</v>
      </c>
      <c r="E20" s="318">
        <v>191.41</v>
      </c>
      <c r="F20" s="318"/>
      <c r="G20" s="318"/>
    </row>
    <row r="21" ht="18" customHeight="1" spans="1:7">
      <c r="A21" s="317" t="s">
        <v>1156</v>
      </c>
      <c r="B21" s="318">
        <f t="shared" si="2"/>
        <v>350</v>
      </c>
      <c r="C21" s="318"/>
      <c r="D21" s="318"/>
      <c r="E21" s="318"/>
      <c r="F21" s="318"/>
      <c r="G21" s="318">
        <v>350</v>
      </c>
    </row>
    <row r="22" ht="18" customHeight="1" spans="1:7">
      <c r="A22" s="317" t="s">
        <v>1157</v>
      </c>
      <c r="B22" s="318">
        <f t="shared" si="2"/>
        <v>89.64</v>
      </c>
      <c r="C22" s="318">
        <v>89.64</v>
      </c>
      <c r="D22" s="318"/>
      <c r="E22" s="318"/>
      <c r="F22" s="318"/>
      <c r="G22" s="318"/>
    </row>
    <row r="23" ht="18" customHeight="1" spans="1:7">
      <c r="A23" s="317" t="s">
        <v>1158</v>
      </c>
      <c r="B23" s="318"/>
      <c r="C23" s="318"/>
      <c r="D23" s="318"/>
      <c r="E23" s="318"/>
      <c r="F23" s="318"/>
      <c r="G23" s="318"/>
    </row>
    <row r="24" ht="18" customHeight="1" spans="1:7">
      <c r="A24" s="317" t="s">
        <v>1159</v>
      </c>
      <c r="B24" s="318"/>
      <c r="C24" s="318"/>
      <c r="D24" s="318"/>
      <c r="E24" s="318"/>
      <c r="F24" s="318"/>
      <c r="G24" s="318"/>
    </row>
    <row r="25" ht="18" customHeight="1" spans="1:7">
      <c r="A25" s="317" t="s">
        <v>1160</v>
      </c>
      <c r="B25" s="318"/>
      <c r="C25" s="318"/>
      <c r="D25" s="318"/>
      <c r="E25" s="318"/>
      <c r="F25" s="318"/>
      <c r="G25" s="318"/>
    </row>
    <row r="26" ht="18" customHeight="1" spans="1:7">
      <c r="A26" s="317" t="s">
        <v>1161</v>
      </c>
      <c r="B26" s="318">
        <f>C26+D26+E26+F26+G26</f>
        <v>8999.92</v>
      </c>
      <c r="C26" s="318"/>
      <c r="D26" s="318"/>
      <c r="E26" s="318"/>
      <c r="F26" s="318"/>
      <c r="G26" s="318">
        <v>8999.92</v>
      </c>
    </row>
    <row r="27" spans="1:7">
      <c r="A27" s="315" t="s">
        <v>1162</v>
      </c>
      <c r="B27" s="316">
        <v>0</v>
      </c>
      <c r="C27" s="316">
        <v>0</v>
      </c>
      <c r="D27" s="316">
        <v>0</v>
      </c>
      <c r="E27" s="316">
        <v>0</v>
      </c>
      <c r="F27" s="316">
        <v>0</v>
      </c>
      <c r="G27" s="316">
        <v>0</v>
      </c>
    </row>
  </sheetData>
  <mergeCells count="1">
    <mergeCell ref="A1:G1"/>
  </mergeCells>
  <pageMargins left="0.699305555555556" right="0.699305555555556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4"/>
  <sheetViews>
    <sheetView workbookViewId="0">
      <selection activeCell="E11" sqref="E11"/>
    </sheetView>
  </sheetViews>
  <sheetFormatPr defaultColWidth="8.75" defaultRowHeight="14.25"/>
  <cols>
    <col min="1" max="1" width="19" style="197" customWidth="1"/>
    <col min="2" max="2" width="34.625" style="197" customWidth="1"/>
    <col min="3" max="3" width="35" style="197" customWidth="1"/>
    <col min="4" max="4" width="9" style="197"/>
    <col min="5" max="5" width="12.625" style="197"/>
    <col min="6" max="6" width="11.75" style="197"/>
    <col min="7" max="8" width="12.875" style="197"/>
    <col min="9" max="9" width="9.625" style="197"/>
    <col min="10" max="25" width="9" style="197"/>
    <col min="26" max="249" width="8.75" style="197"/>
    <col min="250" max="16384" width="8.75" style="99"/>
  </cols>
  <sheetData>
    <row r="1" ht="30" customHeight="1" spans="1:1">
      <c r="A1" s="207"/>
    </row>
    <row r="2" ht="33" customHeight="1" spans="1:3">
      <c r="A2" s="208" t="s">
        <v>1168</v>
      </c>
      <c r="B2" s="208"/>
      <c r="C2" s="208"/>
    </row>
    <row r="3" ht="23.25" customHeight="1" spans="1:3">
      <c r="A3" s="209"/>
      <c r="B3" s="209"/>
      <c r="C3" s="210" t="s">
        <v>1169</v>
      </c>
    </row>
    <row r="4" s="304" customFormat="1" ht="32.25" customHeight="1" spans="1:249">
      <c r="A4" s="305" t="s">
        <v>1170</v>
      </c>
      <c r="B4" s="211" t="s">
        <v>1171</v>
      </c>
      <c r="C4" s="306" t="s">
        <v>1172</v>
      </c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  <c r="AX4" s="307"/>
      <c r="AY4" s="307"/>
      <c r="AZ4" s="307"/>
      <c r="BA4" s="307"/>
      <c r="BB4" s="307"/>
      <c r="BC4" s="307"/>
      <c r="BD4" s="307"/>
      <c r="BE4" s="307"/>
      <c r="BF4" s="307"/>
      <c r="BG4" s="307"/>
      <c r="BH4" s="307"/>
      <c r="BI4" s="307"/>
      <c r="BJ4" s="307"/>
      <c r="BK4" s="307"/>
      <c r="BL4" s="307"/>
      <c r="BM4" s="307"/>
      <c r="BN4" s="307"/>
      <c r="BO4" s="307"/>
      <c r="BP4" s="307"/>
      <c r="BQ4" s="307"/>
      <c r="BR4" s="307"/>
      <c r="BS4" s="307"/>
      <c r="BT4" s="307"/>
      <c r="BU4" s="307"/>
      <c r="BV4" s="307"/>
      <c r="BW4" s="307"/>
      <c r="BX4" s="307"/>
      <c r="BY4" s="307"/>
      <c r="BZ4" s="307"/>
      <c r="CA4" s="307"/>
      <c r="CB4" s="307"/>
      <c r="CC4" s="307"/>
      <c r="CD4" s="307"/>
      <c r="CE4" s="307"/>
      <c r="CF4" s="307"/>
      <c r="CG4" s="307"/>
      <c r="CH4" s="307"/>
      <c r="CI4" s="307"/>
      <c r="CJ4" s="307"/>
      <c r="CK4" s="307"/>
      <c r="CL4" s="307"/>
      <c r="CM4" s="307"/>
      <c r="CN4" s="307"/>
      <c r="CO4" s="307"/>
      <c r="CP4" s="307"/>
      <c r="CQ4" s="307"/>
      <c r="CR4" s="307"/>
      <c r="CS4" s="307"/>
      <c r="CT4" s="307"/>
      <c r="CU4" s="307"/>
      <c r="CV4" s="307"/>
      <c r="CW4" s="307"/>
      <c r="CX4" s="307"/>
      <c r="CY4" s="307"/>
      <c r="CZ4" s="307"/>
      <c r="DA4" s="307"/>
      <c r="DB4" s="307"/>
      <c r="DC4" s="307"/>
      <c r="DD4" s="307"/>
      <c r="DE4" s="307"/>
      <c r="DF4" s="307"/>
      <c r="DG4" s="307"/>
      <c r="DH4" s="307"/>
      <c r="DI4" s="307"/>
      <c r="DJ4" s="307"/>
      <c r="DK4" s="307"/>
      <c r="DL4" s="307"/>
      <c r="DM4" s="307"/>
      <c r="DN4" s="307"/>
      <c r="DO4" s="307"/>
      <c r="DP4" s="307"/>
      <c r="DQ4" s="307"/>
      <c r="DR4" s="307"/>
      <c r="DS4" s="307"/>
      <c r="DT4" s="307"/>
      <c r="DU4" s="307"/>
      <c r="DV4" s="307"/>
      <c r="DW4" s="307"/>
      <c r="DX4" s="307"/>
      <c r="DY4" s="307"/>
      <c r="DZ4" s="307"/>
      <c r="EA4" s="307"/>
      <c r="EB4" s="307"/>
      <c r="EC4" s="307"/>
      <c r="ED4" s="307"/>
      <c r="EE4" s="307"/>
      <c r="EF4" s="307"/>
      <c r="EG4" s="307"/>
      <c r="EH4" s="307"/>
      <c r="EI4" s="307"/>
      <c r="EJ4" s="307"/>
      <c r="EK4" s="307"/>
      <c r="EL4" s="307"/>
      <c r="EM4" s="307"/>
      <c r="EN4" s="307"/>
      <c r="EO4" s="307"/>
      <c r="EP4" s="307"/>
      <c r="EQ4" s="307"/>
      <c r="ER4" s="307"/>
      <c r="ES4" s="307"/>
      <c r="ET4" s="307"/>
      <c r="EU4" s="307"/>
      <c r="EV4" s="307"/>
      <c r="EW4" s="307"/>
      <c r="EX4" s="307"/>
      <c r="EY4" s="307"/>
      <c r="EZ4" s="307"/>
      <c r="FA4" s="307"/>
      <c r="FB4" s="307"/>
      <c r="FC4" s="307"/>
      <c r="FD4" s="307"/>
      <c r="FE4" s="307"/>
      <c r="FF4" s="307"/>
      <c r="FG4" s="307"/>
      <c r="FH4" s="307"/>
      <c r="FI4" s="307"/>
      <c r="FJ4" s="307"/>
      <c r="FK4" s="307"/>
      <c r="FL4" s="307"/>
      <c r="FM4" s="307"/>
      <c r="FN4" s="307"/>
      <c r="FO4" s="307"/>
      <c r="FP4" s="307"/>
      <c r="FQ4" s="307"/>
      <c r="FR4" s="307"/>
      <c r="FS4" s="307"/>
      <c r="FT4" s="307"/>
      <c r="FU4" s="307"/>
      <c r="FV4" s="307"/>
      <c r="FW4" s="307"/>
      <c r="FX4" s="307"/>
      <c r="FY4" s="307"/>
      <c r="FZ4" s="307"/>
      <c r="GA4" s="307"/>
      <c r="GB4" s="307"/>
      <c r="GC4" s="307"/>
      <c r="GD4" s="307"/>
      <c r="GE4" s="307"/>
      <c r="GF4" s="307"/>
      <c r="GG4" s="307"/>
      <c r="GH4" s="307"/>
      <c r="GI4" s="307"/>
      <c r="GJ4" s="307"/>
      <c r="GK4" s="307"/>
      <c r="GL4" s="307"/>
      <c r="GM4" s="307"/>
      <c r="GN4" s="307"/>
      <c r="GO4" s="307"/>
      <c r="GP4" s="307"/>
      <c r="GQ4" s="307"/>
      <c r="GR4" s="307"/>
      <c r="GS4" s="307"/>
      <c r="GT4" s="307"/>
      <c r="GU4" s="307"/>
      <c r="GV4" s="307"/>
      <c r="GW4" s="307"/>
      <c r="GX4" s="307"/>
      <c r="GY4" s="307"/>
      <c r="GZ4" s="307"/>
      <c r="HA4" s="307"/>
      <c r="HB4" s="307"/>
      <c r="HC4" s="307"/>
      <c r="HD4" s="307"/>
      <c r="HE4" s="307"/>
      <c r="HF4" s="307"/>
      <c r="HG4" s="307"/>
      <c r="HH4" s="307"/>
      <c r="HI4" s="307"/>
      <c r="HJ4" s="307"/>
      <c r="HK4" s="307"/>
      <c r="HL4" s="307"/>
      <c r="HM4" s="307"/>
      <c r="HN4" s="307"/>
      <c r="HO4" s="307"/>
      <c r="HP4" s="307"/>
      <c r="HQ4" s="307"/>
      <c r="HR4" s="307"/>
      <c r="HS4" s="307"/>
      <c r="HT4" s="307"/>
      <c r="HU4" s="307"/>
      <c r="HV4" s="307"/>
      <c r="HW4" s="307"/>
      <c r="HX4" s="307"/>
      <c r="HY4" s="307"/>
      <c r="HZ4" s="307"/>
      <c r="IA4" s="307"/>
      <c r="IB4" s="307"/>
      <c r="IC4" s="307"/>
      <c r="ID4" s="307"/>
      <c r="IE4" s="307"/>
      <c r="IF4" s="307"/>
      <c r="IG4" s="307"/>
      <c r="IH4" s="307"/>
      <c r="II4" s="307"/>
      <c r="IJ4" s="307"/>
      <c r="IK4" s="307"/>
      <c r="IL4" s="307"/>
      <c r="IM4" s="307"/>
      <c r="IN4" s="307"/>
      <c r="IO4" s="307"/>
    </row>
    <row r="5" ht="26.25" customHeight="1" spans="1:3">
      <c r="A5" s="308"/>
      <c r="B5" s="211" t="s">
        <v>1173</v>
      </c>
      <c r="C5" s="211" t="s">
        <v>1173</v>
      </c>
    </row>
    <row r="6" ht="27" customHeight="1" spans="1:3">
      <c r="A6" s="214" t="s">
        <v>1174</v>
      </c>
      <c r="B6" s="213">
        <f>SUM(B7:B14)</f>
        <v>243.84</v>
      </c>
      <c r="C6" s="213">
        <f>SUM(C7:C14)</f>
        <v>243.4964365785</v>
      </c>
    </row>
    <row r="7" ht="27" customHeight="1" spans="1:3">
      <c r="A7" s="214" t="s">
        <v>1175</v>
      </c>
      <c r="B7" s="213">
        <v>115.47</v>
      </c>
      <c r="C7" s="213">
        <v>115.2940527937</v>
      </c>
    </row>
    <row r="8" ht="27" customHeight="1" spans="1:6">
      <c r="A8" s="215" t="s">
        <v>1176</v>
      </c>
      <c r="B8" s="216">
        <v>4.95</v>
      </c>
      <c r="C8" s="216">
        <v>4.949785</v>
      </c>
      <c r="F8" s="309"/>
    </row>
    <row r="9" ht="27" customHeight="1" spans="1:6">
      <c r="A9" s="215" t="s">
        <v>1177</v>
      </c>
      <c r="B9" s="216">
        <v>8.53</v>
      </c>
      <c r="C9" s="216">
        <v>8.520807</v>
      </c>
      <c r="F9" s="309"/>
    </row>
    <row r="10" ht="27" customHeight="1" spans="1:3">
      <c r="A10" s="35" t="s">
        <v>1178</v>
      </c>
      <c r="B10" s="217">
        <v>18.51</v>
      </c>
      <c r="C10" s="217">
        <v>18.500188</v>
      </c>
    </row>
    <row r="11" ht="27" customHeight="1" spans="1:3">
      <c r="A11" s="35" t="s">
        <v>1179</v>
      </c>
      <c r="B11" s="217">
        <v>24.27</v>
      </c>
      <c r="C11" s="217">
        <v>24.2562408641</v>
      </c>
    </row>
    <row r="12" ht="27" customHeight="1" spans="1:3">
      <c r="A12" s="35" t="s">
        <v>1180</v>
      </c>
      <c r="B12" s="217">
        <v>32.16</v>
      </c>
      <c r="C12" s="217">
        <v>32.039464942</v>
      </c>
    </row>
    <row r="13" ht="27" customHeight="1" spans="1:3">
      <c r="A13" s="35" t="s">
        <v>1181</v>
      </c>
      <c r="B13" s="217">
        <v>14.7</v>
      </c>
      <c r="C13" s="217">
        <v>14.694401</v>
      </c>
    </row>
    <row r="14" ht="27" customHeight="1" spans="1:3">
      <c r="A14" s="35" t="s">
        <v>1182</v>
      </c>
      <c r="B14" s="217">
        <v>25.25</v>
      </c>
      <c r="C14" s="217">
        <v>25.2414969787</v>
      </c>
    </row>
  </sheetData>
  <mergeCells count="2">
    <mergeCell ref="A2:C2"/>
    <mergeCell ref="A4:A5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目录</vt:lpstr>
      <vt:lpstr>一般公共预算收入表（全市）</vt:lpstr>
      <vt:lpstr>一般公共预算收入表（市本级）</vt:lpstr>
      <vt:lpstr>一般公共预算支出表（全市）</vt:lpstr>
      <vt:lpstr>一般公共预算本级支出表</vt:lpstr>
      <vt:lpstr>一般公共预算本级基本支出表（按政府预算支出经济分类科目）</vt:lpstr>
      <vt:lpstr>一般公共预算税收返还和转移支付（分项目） </vt:lpstr>
      <vt:lpstr>一般公共预算税收返还和转移支付（分地区）</vt:lpstr>
      <vt:lpstr>2025年政府一般债务限额及余额情况表</vt:lpstr>
      <vt:lpstr>2025—2026年政府一般债券发行及还本付息情况表 </vt:lpstr>
      <vt:lpstr>政府性基金收入表（全市）</vt:lpstr>
      <vt:lpstr>政府性基金收入表（市本级）</vt:lpstr>
      <vt:lpstr>政府性基金支出表（全市）</vt:lpstr>
      <vt:lpstr>本级政府性基金支出表</vt:lpstr>
      <vt:lpstr>本级政府性基金支出表（按政府预算支出经济分类科目）</vt:lpstr>
      <vt:lpstr>政府性基金转移支付表 </vt:lpstr>
      <vt:lpstr>2025年政府专项债务限额及余额情况表 </vt:lpstr>
      <vt:lpstr>2025—2026年政府专项债券发行及还本付息情况表 </vt:lpstr>
      <vt:lpstr>国有资本经营预算收入表（全市）</vt:lpstr>
      <vt:lpstr>国有资本经营预算收入表（市本级）</vt:lpstr>
      <vt:lpstr>国有资本经营预算支出表（全市）</vt:lpstr>
      <vt:lpstr>本级国有资本经营预算支出表</vt:lpstr>
      <vt:lpstr>国资转移支付</vt:lpstr>
      <vt:lpstr>本级国有资本经营预算支出表（按政府预算支出经济分类科目）</vt:lpstr>
      <vt:lpstr>国有资本经营预算转移支付表 </vt:lpstr>
      <vt:lpstr>社会保险基金收入预算表（全市）</vt:lpstr>
      <vt:lpstr>社会保险基金收入预算表（市本级）</vt:lpstr>
      <vt:lpstr>社会保险基金支出预算表（全市）</vt:lpstr>
      <vt:lpstr>社会保险基金支出预算表（市本级）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gxxc</dc:creator>
  <cp:lastModifiedBy>gxxc</cp:lastModifiedBy>
  <dcterms:created xsi:type="dcterms:W3CDTF">2024-12-04T16:44:00Z</dcterms:created>
  <dcterms:modified xsi:type="dcterms:W3CDTF">2026-02-25T15:56:20Z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DAAA7E0B08384FB0AC915AF79E74739F_12</vt:lpwstr>
  </property>
  <property fmtid="{D5CDD505-2E9C-101B-9397-08002B2CF9AE}" pid="4" name="CalculationRule">
    <vt:i4>0</vt:i4>
  </property>
</Properties>
</file>